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172.30.30.73\_Uebergabe_\Dominik Kieser\QSV\englisch\"/>
    </mc:Choice>
  </mc:AlternateContent>
  <xr:revisionPtr revIDLastSave="0" documentId="13_ncr:1_{CF26B5B4-D912-482C-BD2D-B8669A2D5511}" xr6:coauthVersionLast="47" xr6:coauthVersionMax="47" xr10:uidLastSave="{00000000-0000-0000-0000-000000000000}"/>
  <workbookProtection workbookAlgorithmName="SHA-512" workbookHashValue="Lvhm15t9inNlf35Qd3h8hlpDnXlSPHa8zzOAdrjKOtmSkdXQGiOwrfn7FBJN8Wp6aenE9mhCnrZ1bmRy0Shqzw==" workbookSaltValue="REcwGGnKnnsM/AOL3sN3Gw==" workbookSpinCount="100000" lockStructure="1"/>
  <bookViews>
    <workbookView xWindow="28680" yWindow="-120" windowWidth="29040" windowHeight="15840" xr2:uid="{1C175A0F-3A42-4864-87B9-4FC6FE4FEA73}"/>
  </bookViews>
  <sheets>
    <sheet name="D1-D3" sheetId="1" r:id="rId1"/>
    <sheet name="D4-D5" sheetId="4" r:id="rId2"/>
    <sheet name="D6-D8" sheetId="5" r:id="rId3"/>
    <sheet name="Documents" sheetId="8" r:id="rId4"/>
    <sheet name="Images" sheetId="11" r:id="rId5"/>
    <sheet name="Notice" sheetId="16" r:id="rId6"/>
    <sheet name="Ishikawa" sheetId="9" r:id="rId7"/>
    <sheet name="5- Why" sheetId="7" r:id="rId8"/>
    <sheet name="Assessment 8D Report" sheetId="20" r:id="rId9"/>
    <sheet name="Language" sheetId="19" state="hidden" r:id="rId10"/>
    <sheet name="Data" sheetId="21" state="hidden" r:id="rId11"/>
  </sheets>
  <definedNames>
    <definedName name="_xlnm.Print_Area" localSheetId="7">'5- Why'!$B$1:$AG$72</definedName>
    <definedName name="_xlnm.Print_Area" localSheetId="8">'Assessment 8D Report'!$B$1:$AG$79</definedName>
    <definedName name="_xlnm.Print_Area" localSheetId="0">'D1-D3'!$B$1:$AG$71</definedName>
    <definedName name="_xlnm.Print_Area" localSheetId="1">'D4-D5'!$B$1:$AG$69</definedName>
    <definedName name="_xlnm.Print_Area" localSheetId="2">'D6-D8'!$B$1:$AG$81</definedName>
    <definedName name="_xlnm.Print_Area" localSheetId="4">Images!$B$1:$BH$58</definedName>
    <definedName name="_xlnm.Print_Area" localSheetId="6">Ishikawa!$B$1:$BH$65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 i="20" l="1"/>
  <c r="AE4" i="7"/>
  <c r="G1" i="9"/>
  <c r="CP4" i="16"/>
  <c r="BJ4" i="16"/>
  <c r="AD4" i="16"/>
  <c r="G1" i="11"/>
  <c r="AD76" i="8"/>
  <c r="BJ76" i="8"/>
  <c r="CP76" i="8"/>
  <c r="DV4" i="8"/>
  <c r="CP4" i="8"/>
  <c r="BJ4" i="8"/>
  <c r="AD4" i="8"/>
  <c r="AE4" i="5"/>
  <c r="AE4" i="4"/>
  <c r="AA4" i="20"/>
  <c r="AA4" i="7"/>
  <c r="CL4" i="16"/>
  <c r="BF4" i="16"/>
  <c r="Z4" i="16"/>
  <c r="B1" i="9"/>
  <c r="B1" i="11"/>
  <c r="CL76" i="8"/>
  <c r="BF76" i="8"/>
  <c r="Z76" i="8"/>
  <c r="DR4" i="8"/>
  <c r="CL4" i="8"/>
  <c r="BF4" i="8"/>
  <c r="Z4" i="8"/>
  <c r="AA4" i="5"/>
  <c r="AA4" i="4"/>
  <c r="AA42" i="20"/>
  <c r="AA41" i="20"/>
  <c r="AA37" i="20"/>
  <c r="AA36" i="20"/>
  <c r="AA35" i="20"/>
  <c r="A73" i="8"/>
  <c r="AG73" i="8"/>
  <c r="BM73" i="8"/>
  <c r="CS1" i="8"/>
  <c r="BM1" i="8"/>
  <c r="AG1" i="8"/>
  <c r="D64" i="21"/>
  <c r="D63" i="21"/>
  <c r="C63" i="21"/>
  <c r="Y65" i="1"/>
  <c r="S65" i="1"/>
  <c r="K65" i="1"/>
  <c r="F65" i="1"/>
  <c r="C65" i="1"/>
  <c r="E63" i="21" l="1"/>
  <c r="AI5" i="20" l="1"/>
  <c r="C67" i="20"/>
  <c r="Z51" i="20"/>
  <c r="E51" i="20"/>
  <c r="E11" i="20"/>
  <c r="Z11" i="20"/>
  <c r="AN11" i="20"/>
  <c r="AN45" i="20"/>
  <c r="AL41" i="20"/>
  <c r="AL36" i="20"/>
  <c r="AL35" i="20"/>
  <c r="AL33" i="20"/>
  <c r="AL32" i="20"/>
  <c r="AL27" i="20"/>
  <c r="AL22" i="20"/>
  <c r="AL24" i="20"/>
  <c r="AL23" i="20"/>
  <c r="AL18" i="20"/>
  <c r="AL17" i="20"/>
  <c r="AM11" i="20"/>
  <c r="AN43" i="20"/>
  <c r="AN41" i="20"/>
  <c r="AN40" i="20"/>
  <c r="AN38" i="20"/>
  <c r="AN37" i="20"/>
  <c r="AN36" i="20"/>
  <c r="AN35" i="20"/>
  <c r="AN33" i="20"/>
  <c r="AN32" i="20"/>
  <c r="AN27" i="20"/>
  <c r="AN24" i="20"/>
  <c r="AN23" i="20"/>
  <c r="AN22" i="20"/>
  <c r="AN18" i="20"/>
  <c r="AN17" i="20"/>
  <c r="AN15" i="20"/>
  <c r="AN14" i="20"/>
  <c r="AN13" i="20"/>
  <c r="AN46" i="20"/>
  <c r="F68" i="20"/>
  <c r="F74" i="21"/>
  <c r="I67" i="20"/>
  <c r="I59" i="20" l="1"/>
  <c r="I58" i="20"/>
  <c r="F46" i="20"/>
  <c r="C69" i="21"/>
  <c r="E69" i="21" s="1"/>
  <c r="F69" i="21" s="1"/>
  <c r="D25" i="21"/>
  <c r="C25" i="21"/>
  <c r="C72" i="21"/>
  <c r="E72" i="21" s="1"/>
  <c r="F72" i="21" s="1"/>
  <c r="AA45" i="20" s="1"/>
  <c r="C70" i="21"/>
  <c r="U41" i="5"/>
  <c r="R22" i="5"/>
  <c r="R12" i="5"/>
  <c r="Z41" i="5"/>
  <c r="E25" i="21" l="1"/>
  <c r="E70" i="21"/>
  <c r="F70" i="21" s="1"/>
  <c r="AA68" i="20"/>
  <c r="C68" i="21"/>
  <c r="E68" i="21" s="1"/>
  <c r="C67" i="21"/>
  <c r="E67" i="21" s="1"/>
  <c r="C65" i="21"/>
  <c r="E65" i="21" s="1"/>
  <c r="F65" i="21" s="1"/>
  <c r="C64" i="21"/>
  <c r="E64" i="21" s="1"/>
  <c r="C61" i="21"/>
  <c r="E61" i="21" s="1"/>
  <c r="C60" i="21"/>
  <c r="E60" i="21" s="1"/>
  <c r="C59" i="21"/>
  <c r="E59" i="21" s="1"/>
  <c r="C58" i="21"/>
  <c r="E58" i="21" s="1"/>
  <c r="AA56" i="4"/>
  <c r="AA44" i="4"/>
  <c r="C56" i="21"/>
  <c r="E56" i="21" s="1"/>
  <c r="C55" i="21"/>
  <c r="E55" i="21" s="1"/>
  <c r="C54" i="21"/>
  <c r="E54" i="21" s="1"/>
  <c r="C53" i="21"/>
  <c r="E53" i="21" s="1"/>
  <c r="C52" i="21"/>
  <c r="E52" i="21" s="1"/>
  <c r="C51" i="21"/>
  <c r="E51" i="21" s="1"/>
  <c r="C50" i="21"/>
  <c r="E50" i="21" s="1"/>
  <c r="C49" i="21"/>
  <c r="E49" i="21" s="1"/>
  <c r="C48" i="21"/>
  <c r="E48" i="21" s="1"/>
  <c r="C47" i="21"/>
  <c r="E47" i="21" s="1"/>
  <c r="C46" i="21"/>
  <c r="E46" i="21" s="1"/>
  <c r="C45" i="21"/>
  <c r="E45" i="21" s="1"/>
  <c r="C44" i="21"/>
  <c r="E44" i="21" s="1"/>
  <c r="C43" i="21"/>
  <c r="E43" i="21" s="1"/>
  <c r="C42" i="21"/>
  <c r="E42" i="21" s="1"/>
  <c r="C41" i="21"/>
  <c r="E41" i="21" s="1"/>
  <c r="C40" i="21"/>
  <c r="E40" i="21" s="1"/>
  <c r="C39" i="21"/>
  <c r="E39" i="21" s="1"/>
  <c r="C38" i="21"/>
  <c r="E38" i="21" s="1"/>
  <c r="C36" i="21"/>
  <c r="E36" i="21" s="1"/>
  <c r="C34" i="21"/>
  <c r="E34" i="21" s="1"/>
  <c r="C32" i="21"/>
  <c r="E32" i="21" s="1"/>
  <c r="C31" i="21"/>
  <c r="E31" i="21" s="1"/>
  <c r="C30" i="21"/>
  <c r="E30" i="21" s="1"/>
  <c r="C28" i="21"/>
  <c r="E28" i="21" s="1"/>
  <c r="C37" i="21"/>
  <c r="E37" i="21" s="1"/>
  <c r="C35" i="21"/>
  <c r="E35" i="21" s="1"/>
  <c r="C33" i="21"/>
  <c r="E33" i="21" s="1"/>
  <c r="C29" i="21"/>
  <c r="E29" i="21" s="1"/>
  <c r="C27" i="21"/>
  <c r="E27" i="21" s="1"/>
  <c r="C26" i="21"/>
  <c r="AR17" i="4"/>
  <c r="D26" i="21"/>
  <c r="C24" i="21"/>
  <c r="E24" i="21" s="1"/>
  <c r="C23" i="21"/>
  <c r="E23" i="21" s="1"/>
  <c r="C21" i="21"/>
  <c r="E21" i="21" s="1"/>
  <c r="C20" i="21"/>
  <c r="E20" i="21" s="1"/>
  <c r="C19" i="21"/>
  <c r="E19" i="21" s="1"/>
  <c r="C18" i="21"/>
  <c r="E18" i="21" s="1"/>
  <c r="C17" i="21"/>
  <c r="E17" i="21" s="1"/>
  <c r="F64" i="21" l="1"/>
  <c r="F63" i="21"/>
  <c r="F50" i="21"/>
  <c r="AA27" i="20" s="1"/>
  <c r="F56" i="21"/>
  <c r="AA28" i="20" s="1"/>
  <c r="F21" i="21"/>
  <c r="AA23" i="20" s="1"/>
  <c r="F68" i="21"/>
  <c r="AA40" i="20" s="1"/>
  <c r="F19" i="21"/>
  <c r="AA22" i="20" s="1"/>
  <c r="F61" i="21"/>
  <c r="AA32" i="20" s="1"/>
  <c r="F59" i="21"/>
  <c r="AA31" i="20" s="1"/>
  <c r="E26" i="21"/>
  <c r="F26" i="21" s="1"/>
  <c r="C15" i="21"/>
  <c r="E15" i="21" s="1"/>
  <c r="C14" i="21"/>
  <c r="E14" i="21" s="1"/>
  <c r="C13" i="21"/>
  <c r="E13" i="21" s="1"/>
  <c r="C12" i="21"/>
  <c r="E12" i="21" s="1"/>
  <c r="C11" i="21"/>
  <c r="E11" i="21" s="1"/>
  <c r="C10" i="21"/>
  <c r="E10" i="21" s="1"/>
  <c r="C9" i="21"/>
  <c r="E9" i="21" s="1"/>
  <c r="C8" i="21"/>
  <c r="E8" i="21" s="1"/>
  <c r="C7" i="21"/>
  <c r="E7" i="21" s="1"/>
  <c r="C6" i="21"/>
  <c r="E6" i="21" s="1"/>
  <c r="F6" i="21" s="1"/>
  <c r="AA17" i="20" s="1"/>
  <c r="C4" i="21"/>
  <c r="E4" i="21" s="1"/>
  <c r="F4" i="21" s="1"/>
  <c r="AA14" i="20" s="1"/>
  <c r="C3" i="21"/>
  <c r="E3" i="21" s="1"/>
  <c r="F3" i="21" s="1"/>
  <c r="AA13" i="20" s="1"/>
  <c r="C70" i="1"/>
  <c r="AA69" i="1"/>
  <c r="S69" i="1"/>
  <c r="O69" i="1"/>
  <c r="K69" i="1"/>
  <c r="AI11" i="5"/>
  <c r="AI11" i="4"/>
  <c r="C64" i="5"/>
  <c r="AA63" i="5"/>
  <c r="S63" i="5"/>
  <c r="O63" i="5"/>
  <c r="K63" i="5"/>
  <c r="I37" i="20"/>
  <c r="F12" i="21" l="1"/>
  <c r="AA18" i="20" s="1"/>
  <c r="F15" i="21"/>
  <c r="AA19" i="20" s="1"/>
  <c r="AA26" i="20"/>
  <c r="E78" i="20"/>
  <c r="J75" i="20"/>
  <c r="E73" i="20"/>
  <c r="B71" i="20"/>
  <c r="I64" i="20"/>
  <c r="I63" i="20"/>
  <c r="I62" i="20"/>
  <c r="I57" i="20"/>
  <c r="I54" i="20"/>
  <c r="I53" i="20"/>
  <c r="B49" i="20"/>
  <c r="I45" i="20"/>
  <c r="I42" i="20"/>
  <c r="I41" i="20"/>
  <c r="I40" i="20"/>
  <c r="I36" i="20"/>
  <c r="I35" i="20"/>
  <c r="I32" i="20"/>
  <c r="I31" i="20"/>
  <c r="I28" i="20"/>
  <c r="I27" i="20"/>
  <c r="I26" i="20"/>
  <c r="I23" i="20"/>
  <c r="I22" i="20"/>
  <c r="I19" i="20"/>
  <c r="I18" i="20"/>
  <c r="I17" i="20"/>
  <c r="I14" i="20"/>
  <c r="I13" i="20"/>
  <c r="B1" i="20"/>
  <c r="W8" i="20"/>
  <c r="R8" i="20"/>
  <c r="H8" i="20"/>
  <c r="C8" i="20"/>
  <c r="W7" i="20"/>
  <c r="R7" i="20"/>
  <c r="H7" i="20"/>
  <c r="C7" i="20"/>
  <c r="T5" i="20"/>
  <c r="M5" i="20"/>
  <c r="G5" i="20"/>
  <c r="B5" i="20"/>
  <c r="T4" i="20"/>
  <c r="M4" i="20"/>
  <c r="G4" i="20"/>
  <c r="B4" i="20"/>
  <c r="W3" i="20"/>
  <c r="T3" i="20"/>
  <c r="G3" i="20"/>
  <c r="B3" i="20"/>
  <c r="F73" i="21" l="1"/>
  <c r="AI52" i="20" s="1"/>
  <c r="AA46" i="20" l="1"/>
  <c r="F75" i="21"/>
  <c r="S75" i="20" s="1"/>
  <c r="W75" i="20" s="1"/>
  <c r="B42" i="7"/>
  <c r="B10" i="7"/>
  <c r="B187" i="19"/>
  <c r="B188" i="19"/>
  <c r="B189" i="19"/>
  <c r="R8" i="7"/>
  <c r="R7" i="7"/>
  <c r="C8" i="7"/>
  <c r="C7" i="7"/>
  <c r="B5" i="7"/>
  <c r="B4" i="7"/>
  <c r="B3" i="7"/>
  <c r="M5" i="7"/>
  <c r="M4" i="7"/>
  <c r="T3" i="7"/>
  <c r="BJ20" i="9"/>
  <c r="BJ18" i="9"/>
  <c r="BJ16" i="9"/>
  <c r="BJ14" i="9"/>
  <c r="AY51" i="9"/>
  <c r="U51" i="9"/>
  <c r="AP51" i="9"/>
  <c r="L51" i="9"/>
  <c r="AG51" i="9"/>
  <c r="C51" i="9"/>
  <c r="AY18" i="9"/>
  <c r="U18" i="9"/>
  <c r="AP18" i="9"/>
  <c r="L18" i="9"/>
  <c r="AG18" i="9"/>
  <c r="C18" i="9"/>
  <c r="B181" i="19"/>
  <c r="B180" i="19"/>
  <c r="B179" i="19"/>
  <c r="B178" i="19"/>
  <c r="B177" i="19"/>
  <c r="B176" i="19"/>
  <c r="AG15" i="9"/>
  <c r="C15" i="9"/>
  <c r="G13" i="9"/>
  <c r="G12" i="9"/>
  <c r="G11" i="9"/>
  <c r="B171" i="19"/>
  <c r="B13" i="9"/>
  <c r="B12" i="9"/>
  <c r="B11" i="9"/>
  <c r="L5" i="9"/>
  <c r="L4" i="9"/>
  <c r="L3" i="9"/>
  <c r="AM3" i="9"/>
  <c r="AD5" i="9"/>
  <c r="AD4" i="9"/>
  <c r="AD8" i="9"/>
  <c r="AD7" i="9"/>
  <c r="H8" i="9"/>
  <c r="H7" i="9"/>
  <c r="CE3" i="16"/>
  <c r="AY3" i="16"/>
  <c r="CC8" i="16"/>
  <c r="CC7" i="16"/>
  <c r="AW8" i="16"/>
  <c r="AW7" i="16"/>
  <c r="BN8" i="16"/>
  <c r="BN7" i="16"/>
  <c r="AH8" i="16"/>
  <c r="AH7" i="16"/>
  <c r="BX5" i="16"/>
  <c r="BX4" i="16"/>
  <c r="AR5" i="16"/>
  <c r="AR4" i="16"/>
  <c r="BM5" i="16"/>
  <c r="BM4" i="16"/>
  <c r="BM3" i="16"/>
  <c r="AG5" i="16"/>
  <c r="AG4" i="16"/>
  <c r="AG3" i="16"/>
  <c r="L5" i="16"/>
  <c r="L4" i="16"/>
  <c r="S3" i="16"/>
  <c r="Q8" i="16"/>
  <c r="Q7" i="16"/>
  <c r="B8" i="16"/>
  <c r="B7" i="16"/>
  <c r="A5" i="16"/>
  <c r="A4" i="16"/>
  <c r="A3" i="16"/>
  <c r="BM1" i="16"/>
  <c r="AG1" i="16"/>
  <c r="A1" i="16"/>
  <c r="B163" i="19"/>
  <c r="B164" i="19"/>
  <c r="B165" i="19"/>
  <c r="B166" i="19"/>
  <c r="B174" i="19"/>
  <c r="B175" i="19"/>
  <c r="B172" i="19"/>
  <c r="B173" i="19"/>
  <c r="B168" i="19"/>
  <c r="B169" i="19"/>
  <c r="B170" i="19"/>
  <c r="B183" i="19"/>
  <c r="B184" i="19"/>
  <c r="B185" i="19"/>
  <c r="B182" i="19"/>
  <c r="B201" i="19"/>
  <c r="B197" i="19"/>
  <c r="B198" i="19"/>
  <c r="B235" i="19"/>
  <c r="B202" i="19"/>
  <c r="B203" i="19"/>
  <c r="B207" i="19"/>
  <c r="B227" i="19"/>
  <c r="B211" i="19"/>
  <c r="B212" i="19"/>
  <c r="B240" i="19"/>
  <c r="B213" i="19"/>
  <c r="B217" i="19"/>
  <c r="B218" i="19"/>
  <c r="B221" i="19"/>
  <c r="B222" i="19"/>
  <c r="B225" i="19"/>
  <c r="B226" i="19"/>
  <c r="B231" i="19"/>
  <c r="B234" i="19"/>
  <c r="B252" i="19"/>
  <c r="B250" i="19"/>
  <c r="B236" i="19"/>
  <c r="B251" i="19"/>
  <c r="B241" i="19"/>
  <c r="B253" i="19"/>
  <c r="L1" i="11"/>
  <c r="B158" i="19"/>
  <c r="B159" i="19"/>
  <c r="B160" i="19"/>
  <c r="B161" i="19"/>
  <c r="AD5" i="11"/>
  <c r="L5" i="11"/>
  <c r="L4" i="11"/>
  <c r="AD8" i="11"/>
  <c r="AD7" i="11"/>
  <c r="H8" i="11"/>
  <c r="H7" i="11"/>
  <c r="L3" i="11"/>
  <c r="AD4" i="11"/>
  <c r="AM3" i="11"/>
  <c r="AI6" i="5"/>
  <c r="AI2" i="5"/>
  <c r="R84" i="8"/>
  <c r="AX84" i="8"/>
  <c r="CD84" i="8"/>
  <c r="DJ12" i="8"/>
  <c r="CD12" i="8"/>
  <c r="AX12" i="8"/>
  <c r="A82" i="8"/>
  <c r="AG82" i="8"/>
  <c r="BM82" i="8"/>
  <c r="CS10" i="8"/>
  <c r="BM10" i="8"/>
  <c r="AG10" i="8"/>
  <c r="B84" i="8"/>
  <c r="AH84" i="8"/>
  <c r="BN84" i="8"/>
  <c r="CT12" i="8"/>
  <c r="BN12" i="8"/>
  <c r="AH12" i="8"/>
  <c r="L77" i="8"/>
  <c r="L76" i="8"/>
  <c r="AR77" i="8"/>
  <c r="AR76" i="8"/>
  <c r="BX77" i="8"/>
  <c r="BX76" i="8"/>
  <c r="DD5" i="8"/>
  <c r="DD4" i="8"/>
  <c r="BX5" i="8"/>
  <c r="BX4" i="8"/>
  <c r="AR5" i="8"/>
  <c r="AR4" i="8"/>
  <c r="S75" i="8"/>
  <c r="AY75" i="8"/>
  <c r="CE75" i="8"/>
  <c r="DK3" i="8"/>
  <c r="CE3" i="8"/>
  <c r="AY3" i="8"/>
  <c r="Q80" i="8"/>
  <c r="Q79" i="8"/>
  <c r="AW80" i="8"/>
  <c r="AW79" i="8"/>
  <c r="CC80" i="8"/>
  <c r="CC79" i="8"/>
  <c r="DI8" i="8"/>
  <c r="DI7" i="8"/>
  <c r="CC8" i="8"/>
  <c r="CC7" i="8"/>
  <c r="AW8" i="8"/>
  <c r="AW7" i="8"/>
  <c r="B80" i="8"/>
  <c r="B79" i="8"/>
  <c r="AH80" i="8"/>
  <c r="AH79" i="8"/>
  <c r="BN80" i="8"/>
  <c r="BN79" i="8"/>
  <c r="CT8" i="8"/>
  <c r="CT7" i="8"/>
  <c r="BN8" i="8"/>
  <c r="BN7" i="8"/>
  <c r="AH8" i="8"/>
  <c r="AH7" i="8"/>
  <c r="A77" i="8"/>
  <c r="A76" i="8"/>
  <c r="A75" i="8"/>
  <c r="AG77" i="8"/>
  <c r="AG76" i="8"/>
  <c r="AG75" i="8"/>
  <c r="BM77" i="8"/>
  <c r="BM76" i="8"/>
  <c r="BM75" i="8"/>
  <c r="CS5" i="8"/>
  <c r="CS4" i="8"/>
  <c r="CS3" i="8"/>
  <c r="BM5" i="8"/>
  <c r="BM4" i="8"/>
  <c r="BM3" i="8"/>
  <c r="AG5" i="8"/>
  <c r="AG4" i="8"/>
  <c r="AG3" i="8"/>
  <c r="Q8" i="8"/>
  <c r="Q7" i="8"/>
  <c r="B8" i="8"/>
  <c r="B7" i="8"/>
  <c r="L5" i="8"/>
  <c r="L4" i="8"/>
  <c r="S3" i="8"/>
  <c r="A5" i="8"/>
  <c r="A4" i="8"/>
  <c r="A3" i="8"/>
  <c r="A10" i="8"/>
  <c r="R12" i="8"/>
  <c r="B12" i="8"/>
  <c r="A1" i="8"/>
  <c r="B154" i="19"/>
  <c r="B155" i="19"/>
  <c r="B156" i="19"/>
  <c r="B157" i="19"/>
  <c r="B150" i="19"/>
  <c r="C73" i="5"/>
  <c r="T71" i="5"/>
  <c r="M68" i="5"/>
  <c r="F68" i="5"/>
  <c r="B66" i="5"/>
  <c r="B145" i="19"/>
  <c r="B146" i="19"/>
  <c r="B147" i="19"/>
  <c r="B148" i="19"/>
  <c r="B149" i="19"/>
  <c r="B142" i="19"/>
  <c r="B141" i="19"/>
  <c r="S57" i="5"/>
  <c r="S55" i="5"/>
  <c r="S53" i="5"/>
  <c r="L55" i="5"/>
  <c r="L53" i="5"/>
  <c r="E57" i="5"/>
  <c r="E55" i="5"/>
  <c r="E53" i="5"/>
  <c r="C41" i="5"/>
  <c r="B39" i="5"/>
  <c r="C51" i="5"/>
  <c r="B61" i="5"/>
  <c r="B128" i="19"/>
  <c r="B129" i="19"/>
  <c r="B130" i="19"/>
  <c r="B131" i="19"/>
  <c r="B132" i="19"/>
  <c r="B133" i="19"/>
  <c r="B134" i="19"/>
  <c r="B135" i="19"/>
  <c r="B136" i="19"/>
  <c r="B137" i="19"/>
  <c r="B138" i="19"/>
  <c r="B139" i="19"/>
  <c r="B119" i="19"/>
  <c r="B120" i="19"/>
  <c r="B121" i="19"/>
  <c r="B122" i="19"/>
  <c r="B123" i="19"/>
  <c r="Y32" i="5"/>
  <c r="S32" i="5"/>
  <c r="K32" i="5"/>
  <c r="F32" i="5"/>
  <c r="C32" i="5"/>
  <c r="C34" i="5"/>
  <c r="C22" i="5"/>
  <c r="C12" i="5"/>
  <c r="B10" i="5"/>
  <c r="AD22" i="5"/>
  <c r="Z22" i="5"/>
  <c r="U22" i="5"/>
  <c r="AD12" i="5"/>
  <c r="Z12" i="5"/>
  <c r="U12" i="5"/>
  <c r="W8" i="5"/>
  <c r="R8" i="5"/>
  <c r="H8" i="5"/>
  <c r="C8" i="5"/>
  <c r="W7" i="5"/>
  <c r="R7" i="5"/>
  <c r="H7" i="5"/>
  <c r="C7" i="5"/>
  <c r="T5" i="5"/>
  <c r="M5" i="5"/>
  <c r="G5" i="5"/>
  <c r="B5" i="5"/>
  <c r="T4" i="5"/>
  <c r="M4" i="5"/>
  <c r="G4" i="5"/>
  <c r="B4" i="5"/>
  <c r="W3" i="5"/>
  <c r="T3" i="5"/>
  <c r="G3" i="5"/>
  <c r="B3" i="5"/>
  <c r="B1" i="5"/>
  <c r="V56" i="4"/>
  <c r="V44" i="4"/>
  <c r="R56" i="4"/>
  <c r="R44" i="4"/>
  <c r="C56" i="4"/>
  <c r="C44" i="4"/>
  <c r="B42" i="4"/>
  <c r="C37" i="4"/>
  <c r="U35" i="4"/>
  <c r="O35" i="4"/>
  <c r="J35" i="4"/>
  <c r="C31" i="4"/>
  <c r="G29" i="4"/>
  <c r="C24" i="4"/>
  <c r="C20" i="4"/>
  <c r="U29" i="4"/>
  <c r="X29" i="4"/>
  <c r="W18" i="4"/>
  <c r="T18" i="4"/>
  <c r="G18" i="4"/>
  <c r="C13" i="4"/>
  <c r="B11" i="4"/>
  <c r="B10" i="4"/>
  <c r="B94" i="19"/>
  <c r="B95" i="19"/>
  <c r="B96" i="19"/>
  <c r="B97" i="19"/>
  <c r="B98" i="19"/>
  <c r="B99" i="19"/>
  <c r="B100" i="19"/>
  <c r="B101" i="19"/>
  <c r="B102" i="19"/>
  <c r="B103" i="19"/>
  <c r="B104" i="19"/>
  <c r="B105" i="19"/>
  <c r="B106" i="19"/>
  <c r="B107" i="19"/>
  <c r="B108" i="19"/>
  <c r="B109" i="19"/>
  <c r="B110" i="19"/>
  <c r="B111" i="19"/>
  <c r="B112" i="19"/>
  <c r="B113" i="19"/>
  <c r="B114" i="19"/>
  <c r="B116" i="19"/>
  <c r="B115" i="19"/>
  <c r="B117" i="19"/>
  <c r="B118" i="19"/>
  <c r="B124" i="19"/>
  <c r="B125" i="19"/>
  <c r="B126" i="19"/>
  <c r="B127" i="19"/>
  <c r="B140" i="19"/>
  <c r="B151" i="19"/>
  <c r="B152" i="19"/>
  <c r="B162" i="19"/>
  <c r="B144" i="19"/>
  <c r="B143" i="19"/>
  <c r="B153" i="19"/>
  <c r="AI6" i="4"/>
  <c r="AI2" i="4"/>
  <c r="R8" i="4"/>
  <c r="R7" i="4"/>
  <c r="C8" i="4"/>
  <c r="C7" i="4"/>
  <c r="M5" i="4"/>
  <c r="M4" i="4"/>
  <c r="T3" i="4"/>
  <c r="B5" i="4"/>
  <c r="B4" i="4"/>
  <c r="B3" i="4"/>
  <c r="B1" i="4"/>
  <c r="AI6" i="1"/>
  <c r="B67" i="1"/>
  <c r="AD57" i="1"/>
  <c r="W57" i="1"/>
  <c r="R57" i="1"/>
  <c r="C57" i="1"/>
  <c r="B55" i="1"/>
  <c r="U49" i="1"/>
  <c r="L49" i="1"/>
  <c r="T52" i="1"/>
  <c r="T51" i="1"/>
  <c r="C53" i="1"/>
  <c r="C52" i="1"/>
  <c r="C51" i="1"/>
  <c r="W34" i="1"/>
  <c r="B50" i="19"/>
  <c r="B51" i="19"/>
  <c r="B52" i="19"/>
  <c r="B53" i="19"/>
  <c r="B54" i="19"/>
  <c r="B55" i="19"/>
  <c r="B56" i="19"/>
  <c r="B57" i="19"/>
  <c r="B58" i="19"/>
  <c r="B59" i="19"/>
  <c r="B60" i="19"/>
  <c r="B61" i="19"/>
  <c r="B62" i="19"/>
  <c r="B63" i="19"/>
  <c r="B64" i="19"/>
  <c r="B65" i="19"/>
  <c r="B66" i="19"/>
  <c r="C34" i="1"/>
  <c r="X30" i="1"/>
  <c r="X27" i="1"/>
  <c r="X24" i="1"/>
  <c r="N30" i="1"/>
  <c r="N27" i="1"/>
  <c r="N24" i="1"/>
  <c r="C24" i="1"/>
  <c r="B22" i="1"/>
  <c r="K15" i="1"/>
  <c r="P15" i="1"/>
  <c r="P13" i="1"/>
  <c r="K13" i="1"/>
  <c r="C15" i="1"/>
  <c r="C13" i="1"/>
  <c r="C12" i="1"/>
  <c r="B11" i="1"/>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16" i="19"/>
  <c r="O9" i="1"/>
  <c r="M4" i="1"/>
  <c r="M5" i="1"/>
  <c r="R8" i="1"/>
  <c r="R7" i="1"/>
  <c r="C8" i="1"/>
  <c r="C7" i="1"/>
  <c r="B5" i="1"/>
  <c r="B3" i="1"/>
  <c r="B4" i="1"/>
  <c r="AA4" i="1"/>
  <c r="T3" i="1"/>
  <c r="AI11" i="1"/>
  <c r="AI2" i="1"/>
  <c r="I31" i="19" l="1"/>
  <c r="AD6" i="1" s="1"/>
  <c r="AR7" i="1" l="1"/>
  <c r="B15" i="19"/>
  <c r="B1" i="1"/>
  <c r="B13" i="19"/>
  <c r="B14" i="19"/>
  <c r="B12" i="19"/>
  <c r="W3" i="7" l="1"/>
  <c r="G4" i="7"/>
  <c r="G3" i="7"/>
  <c r="AR3" i="9"/>
  <c r="T4" i="9"/>
  <c r="T3" i="9"/>
  <c r="BR4" i="16"/>
  <c r="AL4" i="16"/>
  <c r="F4" i="16"/>
  <c r="BR3" i="16"/>
  <c r="AL3" i="16"/>
  <c r="F3" i="16"/>
  <c r="CH3" i="16"/>
  <c r="V3" i="16"/>
  <c r="BB3" i="16"/>
  <c r="T4" i="11"/>
  <c r="T3" i="11"/>
  <c r="AR3" i="11"/>
  <c r="W3" i="4"/>
  <c r="G4" i="4"/>
  <c r="G3" i="4"/>
  <c r="DN3" i="8"/>
  <c r="CH3" i="8"/>
  <c r="BB3" i="8"/>
  <c r="V3" i="8"/>
  <c r="V75" i="8"/>
  <c r="BB75" i="8"/>
  <c r="CH75" i="8"/>
  <c r="BR75" i="8"/>
  <c r="AL75" i="8"/>
  <c r="F75" i="8"/>
  <c r="F76" i="8"/>
  <c r="AL76" i="8"/>
  <c r="BR76" i="8"/>
  <c r="CX4" i="8"/>
  <c r="BR4" i="8"/>
  <c r="AL4" i="8"/>
  <c r="F4" i="8"/>
  <c r="F3" i="8"/>
  <c r="AL3" i="8"/>
  <c r="CX3" i="8"/>
  <c r="BR3" i="8"/>
  <c r="L83" i="8" l="1"/>
  <c r="AR83" i="8"/>
  <c r="BX83" i="8"/>
  <c r="DD11" i="8"/>
  <c r="BX11" i="8"/>
  <c r="AR11" i="8"/>
  <c r="L11" i="8"/>
  <c r="EH16" i="8" l="1"/>
  <c r="EH15" i="8"/>
  <c r="EH14" i="8"/>
  <c r="EH12" i="8"/>
  <c r="EH11" i="8"/>
  <c r="EH10" i="8"/>
  <c r="EH9" i="8"/>
  <c r="CE4" i="16" l="1"/>
  <c r="BR5" i="16"/>
  <c r="CE5" i="16"/>
  <c r="BS7" i="16"/>
  <c r="CH7" i="16"/>
  <c r="BS8" i="16"/>
  <c r="CH8" i="16"/>
  <c r="BB8" i="16"/>
  <c r="AM8" i="16"/>
  <c r="V8" i="16"/>
  <c r="G8" i="16"/>
  <c r="BB7" i="16"/>
  <c r="AM7" i="16"/>
  <c r="V7" i="16"/>
  <c r="G7" i="16"/>
  <c r="AY5" i="16"/>
  <c r="AL5" i="16"/>
  <c r="S5" i="16"/>
  <c r="F5" i="16"/>
  <c r="AY4" i="16"/>
  <c r="S4" i="16"/>
  <c r="AL8" i="11" l="1"/>
  <c r="P8" i="11"/>
  <c r="AL7" i="11"/>
  <c r="P7" i="11"/>
  <c r="AM5" i="11"/>
  <c r="T5" i="11"/>
  <c r="AM4" i="11"/>
  <c r="AL8" i="9" l="1"/>
  <c r="P8" i="9"/>
  <c r="AL7" i="9"/>
  <c r="P7" i="9"/>
  <c r="AM5" i="9"/>
  <c r="T5" i="9"/>
  <c r="AM4" i="9"/>
  <c r="DN8" i="8" l="1"/>
  <c r="CY8" i="8"/>
  <c r="DN7" i="8"/>
  <c r="CY7" i="8"/>
  <c r="DK5" i="8"/>
  <c r="CX5" i="8"/>
  <c r="DK4" i="8"/>
  <c r="CH80" i="8"/>
  <c r="BS80" i="8"/>
  <c r="CH79" i="8"/>
  <c r="BS79" i="8"/>
  <c r="CE77" i="8"/>
  <c r="BR77" i="8"/>
  <c r="CE76" i="8"/>
  <c r="CH8" i="8"/>
  <c r="BS8" i="8"/>
  <c r="CH7" i="8"/>
  <c r="BS7" i="8"/>
  <c r="CE5" i="8"/>
  <c r="BR5" i="8"/>
  <c r="CE4" i="8"/>
  <c r="V80" i="8"/>
  <c r="G80" i="8"/>
  <c r="V79" i="8"/>
  <c r="G79" i="8"/>
  <c r="S77" i="8"/>
  <c r="F77" i="8"/>
  <c r="S76" i="8"/>
  <c r="BB80" i="8"/>
  <c r="AM80" i="8"/>
  <c r="BB79" i="8"/>
  <c r="AM79" i="8"/>
  <c r="AY77" i="8"/>
  <c r="AL77" i="8"/>
  <c r="AY76" i="8"/>
  <c r="BB8" i="8"/>
  <c r="AM8" i="8"/>
  <c r="BB7" i="8"/>
  <c r="AM7" i="8"/>
  <c r="AY5" i="8"/>
  <c r="AL5" i="8"/>
  <c r="AY4" i="8"/>
  <c r="V8" i="8"/>
  <c r="G8" i="8"/>
  <c r="V7" i="8"/>
  <c r="G7" i="8"/>
  <c r="S5" i="8"/>
  <c r="F5" i="8"/>
  <c r="S4" i="8"/>
  <c r="W8" i="7"/>
  <c r="H8" i="7"/>
  <c r="W7" i="7"/>
  <c r="H7" i="7"/>
  <c r="T5" i="7"/>
  <c r="G5" i="7"/>
  <c r="T4" i="7"/>
  <c r="AR21" i="4" l="1"/>
  <c r="AR20" i="4"/>
  <c r="AR16" i="4"/>
  <c r="AR11" i="4"/>
  <c r="AR10" i="4"/>
  <c r="AR10" i="1"/>
  <c r="AR11" i="1"/>
  <c r="AR6" i="1" l="1"/>
  <c r="W8" i="4"/>
  <c r="W7" i="4"/>
  <c r="H8" i="4"/>
  <c r="H7" i="4"/>
  <c r="T4" i="4"/>
  <c r="AR3" i="1"/>
  <c r="R9" i="1" s="1"/>
  <c r="T5" i="4" l="1"/>
  <c r="G5"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<sst xmlns="http://schemas.openxmlformats.org/spreadsheetml/2006/main" count="1048" uniqueCount="618">
  <si>
    <t>Deutsch</t>
  </si>
  <si>
    <t>English</t>
  </si>
  <si>
    <t>Zeichnungsnummer:</t>
  </si>
  <si>
    <t>Drawing no.</t>
  </si>
  <si>
    <t>Index:</t>
  </si>
  <si>
    <t>Drawing revision</t>
  </si>
  <si>
    <t>Name (Teamleiter)</t>
  </si>
  <si>
    <t>Name (Header)</t>
  </si>
  <si>
    <t>Position</t>
  </si>
  <si>
    <t>Telefon</t>
  </si>
  <si>
    <t>Phone</t>
  </si>
  <si>
    <t>Name (Teammitglieder)</t>
  </si>
  <si>
    <t>Name (Problem solving team)</t>
  </si>
  <si>
    <t xml:space="preserve">Fehlerverdächtige Menge im Transport: </t>
  </si>
  <si>
    <t>Suspect Quantity in transport:</t>
  </si>
  <si>
    <t>Fehler tritt erstmalig auf</t>
  </si>
  <si>
    <t>First occurrence defect</t>
  </si>
  <si>
    <t>Wiederholfehler</t>
  </si>
  <si>
    <t>Repetitive defect</t>
  </si>
  <si>
    <t>Wenn ja, Lieferscheinnummer</t>
  </si>
  <si>
    <t>If yes, delivery note number:</t>
  </si>
  <si>
    <t>Sofortmaßnahmen</t>
  </si>
  <si>
    <t>Containment actions</t>
  </si>
  <si>
    <t>Verantwortlicher</t>
  </si>
  <si>
    <t>Responsible</t>
  </si>
  <si>
    <t>Status</t>
  </si>
  <si>
    <t>Status:</t>
  </si>
  <si>
    <t>In Bearbeitung</t>
  </si>
  <si>
    <t>In processing</t>
  </si>
  <si>
    <t>Umgesetzt</t>
  </si>
  <si>
    <t>Closed</t>
  </si>
  <si>
    <t>Validiert</t>
  </si>
  <si>
    <t>Validated</t>
  </si>
  <si>
    <t>Erste Lieferung nach Implementierung der Sofortmaßnahmen</t>
  </si>
  <si>
    <t>First delivery after implementation of containment actions</t>
  </si>
  <si>
    <t>Verantwortlich</t>
  </si>
  <si>
    <t>Bemerkungen</t>
  </si>
  <si>
    <t>Remarks</t>
  </si>
  <si>
    <t>Lieferant:</t>
  </si>
  <si>
    <t>Supplier:</t>
  </si>
  <si>
    <t>8D- Report</t>
  </si>
  <si>
    <t>8D- Bericht</t>
  </si>
  <si>
    <t>D1 - Team</t>
  </si>
  <si>
    <t>8D - Team</t>
  </si>
  <si>
    <t>Email</t>
  </si>
  <si>
    <t>Datum</t>
  </si>
  <si>
    <t>Date</t>
  </si>
  <si>
    <t>t</t>
  </si>
  <si>
    <t>Accepted</t>
  </si>
  <si>
    <t>Akzeptiert</t>
  </si>
  <si>
    <t>NOT accepted</t>
  </si>
  <si>
    <t>Nicht akzeptiert</t>
  </si>
  <si>
    <t>Reklamation:</t>
  </si>
  <si>
    <t>Claim:</t>
  </si>
  <si>
    <t>Zeichnung, Foto, Skizze</t>
  </si>
  <si>
    <t>Drawing, Photo, Sketch</t>
  </si>
  <si>
    <t>Beschreibe das Problem faktenbasiert</t>
  </si>
  <si>
    <t>Describe the problem fact based</t>
  </si>
  <si>
    <t>Wer hat es entdeckt?</t>
  </si>
  <si>
    <t>Warum ist es ein Problem?</t>
  </si>
  <si>
    <t>Wie wurde es entdeckt?</t>
  </si>
  <si>
    <t>Wann ist es aufgetreten?</t>
  </si>
  <si>
    <t>Wie viele Teile sind betroffen?</t>
  </si>
  <si>
    <t>Why is it a problem?</t>
  </si>
  <si>
    <t>How was it discovered?</t>
  </si>
  <si>
    <t>When did it occur?</t>
  </si>
  <si>
    <t>How many parts are affected?</t>
  </si>
  <si>
    <t>Who discovered it?</t>
  </si>
  <si>
    <t>Wo wurde es entdeckt?</t>
  </si>
  <si>
    <t>Where was it discovered?</t>
  </si>
  <si>
    <t>D3 - Sofortmaßnahmen</t>
  </si>
  <si>
    <t>D3 - Containment actions</t>
  </si>
  <si>
    <t>D2 - Problem description</t>
  </si>
  <si>
    <t>D2 - Problembeschreibung</t>
  </si>
  <si>
    <t>D4 - Ursachenanalyse</t>
  </si>
  <si>
    <t>D4 - Root cause analysis</t>
  </si>
  <si>
    <t>The Ishikawa and the 5-Why method help with error analysis.</t>
  </si>
  <si>
    <t>Bei der Fehleranalyse helfen das Ishikawa und die 5-Why-Methode.</t>
  </si>
  <si>
    <t>4.1 Ursachenanalyse zur Entstehung des Fehlers</t>
  </si>
  <si>
    <t>4.1 Root cause for occurrence</t>
  </si>
  <si>
    <t>Ja</t>
  </si>
  <si>
    <t>Nein</t>
  </si>
  <si>
    <t>No</t>
  </si>
  <si>
    <t>Yes</t>
  </si>
  <si>
    <t xml:space="preserve">Begründung falls der Fehler nicht reproduziert werden konnte: </t>
  </si>
  <si>
    <t>Reason if the error could not be reproduced:</t>
  </si>
  <si>
    <t>4.2 Ursachenanalyse zur Nichterkennung des Fehlers</t>
  </si>
  <si>
    <t xml:space="preserve">4.2 Root cause for non-detection </t>
  </si>
  <si>
    <t>Konnte der Fehler zur Entstehung reproduziert werden?</t>
  </si>
  <si>
    <t>Could the error be reproduced to the origin?</t>
  </si>
  <si>
    <t>Konnte der Fehler zur Nichterkennung reproduziert werden?</t>
  </si>
  <si>
    <t>Could the non-detection error be reproduced?</t>
  </si>
  <si>
    <t>wenn "Nicht akzeptiert", Begründung:</t>
  </si>
  <si>
    <t>if "Not accepted", reason:</t>
  </si>
  <si>
    <t>D5 - Planed Corrective Actions</t>
  </si>
  <si>
    <t xml:space="preserve">D5 - Geplante Abstellmaßnahme(n) </t>
  </si>
  <si>
    <t>5.1 Abstellmaßnahmen zur Fehlerentstehung</t>
  </si>
  <si>
    <t>5.2 Abstellmaßnahme zur Fehlererkennung</t>
  </si>
  <si>
    <t>5.1 Planed Actions for occurence</t>
  </si>
  <si>
    <t>5.2 Planed Actions for non detection</t>
  </si>
  <si>
    <t>Wirksamkeitsprüfung und Methode angeben:</t>
  </si>
  <si>
    <t>Specify effectiveness test and method:</t>
  </si>
  <si>
    <t xml:space="preserve">D6 - Eingeführte Abstellmaßnahme(n) </t>
  </si>
  <si>
    <t>D6 - Implemented Corrective Actions</t>
  </si>
  <si>
    <t>6.1 Abstellmaßnahme zur Fehlerentstehung</t>
  </si>
  <si>
    <t>6.2 Abstellmaßnahme zur Fehlererkennung</t>
  </si>
  <si>
    <t>6.1 Implemented Actions for occurence</t>
  </si>
  <si>
    <t>6.2 Implemented Actions for non detection</t>
  </si>
  <si>
    <t>Implementation Lessons Learned</t>
  </si>
  <si>
    <t>Maßnahme gegen Wiederholfehler / Implementierung Lessons Learned</t>
  </si>
  <si>
    <t xml:space="preserve">D7 - Lessons Learned </t>
  </si>
  <si>
    <t>D7 - Wiederauftreten verhindern</t>
  </si>
  <si>
    <t>Wartungspläne</t>
  </si>
  <si>
    <t>Maintenance Plan</t>
  </si>
  <si>
    <t>Zeichnungen</t>
  </si>
  <si>
    <t>Drawings</t>
  </si>
  <si>
    <t>Sonstiges:</t>
  </si>
  <si>
    <t>Other:</t>
  </si>
  <si>
    <t>D8 - Completion</t>
  </si>
  <si>
    <t>D8 - Abschluss</t>
  </si>
  <si>
    <t>Datum / Unterschrift (Lieferant)</t>
  </si>
  <si>
    <t>Date / Signature (Supplier)</t>
  </si>
  <si>
    <t>Nachweisdokument</t>
  </si>
  <si>
    <t>Verification document</t>
  </si>
  <si>
    <t>Vorher:</t>
  </si>
  <si>
    <t>Nachher:</t>
  </si>
  <si>
    <t>Previous:</t>
  </si>
  <si>
    <t>Afterwards:</t>
  </si>
  <si>
    <t>5- Why</t>
  </si>
  <si>
    <t>Ishikawa</t>
  </si>
  <si>
    <t>Documents</t>
  </si>
  <si>
    <t>1. WHY</t>
  </si>
  <si>
    <t>2. WHY</t>
  </si>
  <si>
    <t>3. WHY</t>
  </si>
  <si>
    <t>4. WHY</t>
  </si>
  <si>
    <t>5. WHY</t>
  </si>
  <si>
    <t>Mensch</t>
  </si>
  <si>
    <t>Maschine</t>
  </si>
  <si>
    <t>Umwelt</t>
  </si>
  <si>
    <t>Methode</t>
  </si>
  <si>
    <t>Material</t>
  </si>
  <si>
    <t>Messung</t>
  </si>
  <si>
    <t>Men</t>
  </si>
  <si>
    <t>Machine</t>
  </si>
  <si>
    <t>Environment</t>
  </si>
  <si>
    <t>Method</t>
  </si>
  <si>
    <t>Measurement</t>
  </si>
  <si>
    <t>Problem</t>
  </si>
  <si>
    <t>Wieso ist der Fehler aufgetreten?</t>
  </si>
  <si>
    <t>Wieso wurde der Fehler nicht entdeckt?</t>
  </si>
  <si>
    <t>Why has the error occurred?</t>
  </si>
  <si>
    <t>Why was the error not found?</t>
  </si>
  <si>
    <t>Team identifiziert mögliche technische Ursachen basierend auf Erfahrungen, FMEA, Prozessaufzeichnungen etc.</t>
  </si>
  <si>
    <t>Teste die wahrscheinlichsten Ursachen durch Reproduzierung und Unterbindung des Fehlers.</t>
  </si>
  <si>
    <t>Test each most likely rootcause against the problem and verify by make the problem come and go.</t>
  </si>
  <si>
    <t>Team decides which causes are most likely (mark the decision with the given symbols).</t>
  </si>
  <si>
    <t>Team identifies possible technical causes based on experience, FMEA, process records, etc.</t>
  </si>
  <si>
    <t>Schritt 1</t>
  </si>
  <si>
    <t>Schritt 2</t>
  </si>
  <si>
    <t>Schritt 3</t>
  </si>
  <si>
    <t>Step 3</t>
  </si>
  <si>
    <t>Step 2</t>
  </si>
  <si>
    <t>Step 1</t>
  </si>
  <si>
    <t>Nicht die Ursache</t>
  </si>
  <si>
    <t>Probable cause</t>
  </si>
  <si>
    <t>Possible cause</t>
  </si>
  <si>
    <t>Not the cause</t>
  </si>
  <si>
    <t>Mögliche Ursache</t>
  </si>
  <si>
    <t>Wahrscheinliche Ursache</t>
  </si>
  <si>
    <t>Evaluation modules</t>
  </si>
  <si>
    <t>Bewertungsbausteine</t>
  </si>
  <si>
    <t>Auftreten</t>
  </si>
  <si>
    <t>Nichtentdecken</t>
  </si>
  <si>
    <t>Non- detection</t>
  </si>
  <si>
    <t>Occurrence</t>
  </si>
  <si>
    <t>Zusatzbilder</t>
  </si>
  <si>
    <t>Additional images</t>
  </si>
  <si>
    <t>Wenn mehr Platz für Abbildungen benötigt wird.</t>
  </si>
  <si>
    <t>When more space is needed for illustrations.</t>
  </si>
  <si>
    <t>Images</t>
  </si>
  <si>
    <t>Potentiell suspekte Mengen und n.i.O. Mengen sind angegeben?</t>
  </si>
  <si>
    <t>Klare Beschreibung des Fehlers inklusive Auswirkung wurde dargelegt.</t>
  </si>
  <si>
    <t>Teamleiter inklusive Kontaktdaten wurde definiert.</t>
  </si>
  <si>
    <t>Funktionsübergeifendes Team wurde definiert und die Funktionen der Teilnehmer sind verfügbar.</t>
  </si>
  <si>
    <t>Gibt es eine bildliche Darstellung des Problems? Erklären die Bilder die Abweichung (i.O. Bild/n.i.O. Bild oder Zeichnungsausschnitt...)</t>
  </si>
  <si>
    <t>Die "W-Fragen" wurden genutzt um das Problem zu beschreiben.</t>
  </si>
  <si>
    <t>Clear description of the error including impact was presented.</t>
  </si>
  <si>
    <t>Team leader including contact details has been defined.</t>
  </si>
  <si>
    <t>Cross-functional team has been defined and the functions of the participants are available.</t>
  </si>
  <si>
    <t>Is there a pictorial representation of the problem? Do the pictures explain the deviation (OK picture/NOK picture or drawing section...)</t>
  </si>
  <si>
    <t>The "W- Questions" were used to describe the problem.</t>
  </si>
  <si>
    <t>Potentially suspect quantities and NOK quantities are indicated?</t>
  </si>
  <si>
    <t>Sofortmaßnahmen wurden definiert und implementiert um Elektra und Endkunden zu schützen.</t>
  </si>
  <si>
    <t>Immediate measures were defined and implemented to protect Elektra and end customers.</t>
  </si>
  <si>
    <t>5- Why Analyse wurde durchgeführt.</t>
  </si>
  <si>
    <t>5- Why analysis was performed.</t>
  </si>
  <si>
    <t>Wenn zusätzlich Platz für die Erweiterung des 8D- Berichts benötigt wird</t>
  </si>
  <si>
    <t>If additional space is required for the extension of the 8D- report</t>
  </si>
  <si>
    <t>Extended information</t>
  </si>
  <si>
    <t>D1 - D3</t>
  </si>
  <si>
    <t>u</t>
  </si>
  <si>
    <t>Notice</t>
  </si>
  <si>
    <t>Geplanter Termin</t>
  </si>
  <si>
    <t>Umsetzungsdatum</t>
  </si>
  <si>
    <t>Planned date</t>
  </si>
  <si>
    <t>Implementation date</t>
  </si>
  <si>
    <t>D4 - D5</t>
  </si>
  <si>
    <t>D6 - D8</t>
  </si>
  <si>
    <t>Material name:</t>
  </si>
  <si>
    <t>Materialbezeichnung:</t>
  </si>
  <si>
    <t>Materialnummer:</t>
  </si>
  <si>
    <t>Material number:</t>
  </si>
  <si>
    <t>Reklamationsnummer (Lieferant):</t>
  </si>
  <si>
    <t>Complaint number (Supplier):</t>
  </si>
  <si>
    <t>Lieferscheinnummer</t>
  </si>
  <si>
    <t>Delivery note number</t>
  </si>
  <si>
    <t>Status 8D Lieferant</t>
  </si>
  <si>
    <t>Status 8D supplier</t>
  </si>
  <si>
    <t>für Abschluss vorgeschlagen</t>
  </si>
  <si>
    <t>suggested for closure</t>
  </si>
  <si>
    <t>Kommentar / Notizen</t>
  </si>
  <si>
    <t>Comments / Notes</t>
  </si>
  <si>
    <t xml:space="preserve">Delivery date/CW
</t>
  </si>
  <si>
    <t>Lieferdatum / KW</t>
  </si>
  <si>
    <t>Sonstige</t>
  </si>
  <si>
    <t>Maßnahmen gegen Wiederholfehler / Implementierung Lessons Learned wurden erbracht</t>
  </si>
  <si>
    <t>Actions against repeat errors / implementation Lessons learned were provided.</t>
  </si>
  <si>
    <t>8D wurde zum Abschluss vorgeschlagen und vom Teamleiter unterschrieben.</t>
  </si>
  <si>
    <t>8D was proposed for closure and signed by the team leader.</t>
  </si>
  <si>
    <t>zum Abschluss vorgeschlagen</t>
  </si>
  <si>
    <t xml:space="preserve">           </t>
  </si>
  <si>
    <t>Zusätzliche Bewertung durch Elektra</t>
  </si>
  <si>
    <t>Additional evaluation by Elektra</t>
  </si>
  <si>
    <t>Gesamtbewertung</t>
  </si>
  <si>
    <t>Overall rating</t>
  </si>
  <si>
    <t>Ergebniss</t>
  </si>
  <si>
    <t>Result</t>
  </si>
  <si>
    <t>Bewertung 8D- Report</t>
  </si>
  <si>
    <t>Assessment 8D- Report</t>
  </si>
  <si>
    <t>The following documents have been updated, please enter proof documents in the table "Documents"</t>
  </si>
  <si>
    <t>Folgende Dokumente wurden aktualisiert, bitte im Reiter "Dokumente" einpflegen</t>
  </si>
  <si>
    <t>Check for completeness and plausibility</t>
  </si>
  <si>
    <t>Bewertungsschlüssel</t>
  </si>
  <si>
    <t>Valuation key</t>
  </si>
  <si>
    <t>Erweiterte Informationen</t>
  </si>
  <si>
    <t>Diese Bewertung fließt in Ihre Lieferantenbewertung mit ein.</t>
  </si>
  <si>
    <t>This rating will be included in your supplier rating.</t>
  </si>
  <si>
    <t>Dokumentenbezeichnung:</t>
  </si>
  <si>
    <t>Document name:</t>
  </si>
  <si>
    <t>Kontrolle auf Vollständigkeit und Plausibilität</t>
  </si>
  <si>
    <t>Nazwa materiału:</t>
  </si>
  <si>
    <t>Numer materiału:</t>
  </si>
  <si>
    <t>Nr rysunku.</t>
  </si>
  <si>
    <t>Rewizja rysunku</t>
  </si>
  <si>
    <t>Stanowisko</t>
  </si>
  <si>
    <t>Nazwa (zespół rozwiązujący problem)</t>
  </si>
  <si>
    <t>D2 - Opis problemu</t>
  </si>
  <si>
    <t>Rysunek, Zdjęcie, Szkic</t>
  </si>
  <si>
    <t>Podejrzana ilość w transporcie:</t>
  </si>
  <si>
    <t>Wada powtarzająca się</t>
  </si>
  <si>
    <t>Jeśli tak, numer dowodu dostawy:</t>
  </si>
  <si>
    <t>D3 - Działania zabezpieczające</t>
  </si>
  <si>
    <t>Działania zabezpieczające</t>
  </si>
  <si>
    <t>Odpowiedzialny</t>
  </si>
  <si>
    <t>W trakcie przetwarzania</t>
  </si>
  <si>
    <t>Zamknięty</t>
  </si>
  <si>
    <t>Zatwierdzony</t>
  </si>
  <si>
    <t>Numer reklamacji (Dostawca):</t>
  </si>
  <si>
    <t>Numer dowodu dostawy</t>
  </si>
  <si>
    <t>Uwagi</t>
  </si>
  <si>
    <t>Dostawca:</t>
  </si>
  <si>
    <t>8D- Raport</t>
  </si>
  <si>
    <t>Opisać problem w oparciu o fakty</t>
  </si>
  <si>
    <t>Dlaczego jest to problem?</t>
  </si>
  <si>
    <t>Jak został odkryty?</t>
  </si>
  <si>
    <t>Kiedy się pojawił?</t>
  </si>
  <si>
    <t>Ile części jest dotkniętych problemem?</t>
  </si>
  <si>
    <t>Kto go odkrył?</t>
  </si>
  <si>
    <t>Gdzie został odkryty?</t>
  </si>
  <si>
    <t>D4 - Analiza pierwotnej przyczyny</t>
  </si>
  <si>
    <t>Metoda Ishikawy i 5-Why pomagają w analizie błędów.</t>
  </si>
  <si>
    <t>4.1 Pierwotna przyczyna wystąpienia</t>
  </si>
  <si>
    <t>Tak</t>
  </si>
  <si>
    <t>Nie</t>
  </si>
  <si>
    <t>Powód, jeśli nie można było odtworzyć błędu:</t>
  </si>
  <si>
    <t xml:space="preserve">4.2 Główna przyczyna niewykrycia </t>
  </si>
  <si>
    <t>jeżeli "Nie można", powód:</t>
  </si>
  <si>
    <t>D5 - Planowane działania naprawcze</t>
  </si>
  <si>
    <t>Określić test skuteczności i metodę:</t>
  </si>
  <si>
    <t>D6 - Wdrożone działania korygujące</t>
  </si>
  <si>
    <t>6.1 Wdrożone działania dotyczące występowania</t>
  </si>
  <si>
    <t xml:space="preserve">D7 - Wyciągnięte wnioski </t>
  </si>
  <si>
    <t>Wnioski z wdrożenia</t>
  </si>
  <si>
    <t>Plan konserwacji</t>
  </si>
  <si>
    <t>Rysunki</t>
  </si>
  <si>
    <t>Inne:</t>
  </si>
  <si>
    <t>D8 - Zakończenie</t>
  </si>
  <si>
    <t>Data / Podpis (Dostawca)</t>
  </si>
  <si>
    <t>Data</t>
  </si>
  <si>
    <t>Dokument weryfikacyjny</t>
  </si>
  <si>
    <t>Poprzedni:</t>
  </si>
  <si>
    <t>Niewykrycie</t>
  </si>
  <si>
    <t>Dodatkowe ilustracje</t>
  </si>
  <si>
    <t>Maszyna</t>
  </si>
  <si>
    <t>Środowisko</t>
  </si>
  <si>
    <t>Metoda</t>
  </si>
  <si>
    <t>Materiał</t>
  </si>
  <si>
    <t>Pomiar</t>
  </si>
  <si>
    <t>Dlaczego wystąpił błąd?</t>
  </si>
  <si>
    <t>Dlaczego błąd nie został znaleziony?</t>
  </si>
  <si>
    <t>Zespół decyduje, które przyczyny są najbardziej prawdopodobne (oznacz decyzję za pomocą podanych symboli).</t>
  </si>
  <si>
    <t>Krok 1</t>
  </si>
  <si>
    <t>Krok 2</t>
  </si>
  <si>
    <t>Krok 3</t>
  </si>
  <si>
    <t>Prawdopodobna przyczyna</t>
  </si>
  <si>
    <t>Możliwa przyczyna</t>
  </si>
  <si>
    <t>Nie jest przyczyną</t>
  </si>
  <si>
    <t>Moduły oceny</t>
  </si>
  <si>
    <t>Zdefiniowano lidera zespołu wraz z danymi kontaktowymi.</t>
  </si>
  <si>
    <t>Pierwsze wystąpienie wady</t>
  </si>
  <si>
    <t>Nie przyjęta</t>
  </si>
  <si>
    <t>Status Dostawca 8D</t>
  </si>
  <si>
    <t>Występowanie</t>
  </si>
  <si>
    <t>Gdy potrzebne jest więcej miejsca na ilustracje.</t>
  </si>
  <si>
    <t>Zespół identyfikuje możliwe przyczyny techniczne na podstawie doświadczenia, FMEA, zapisów procesu itp.</t>
  </si>
  <si>
    <t>Wskazano potencjalnie podejrzane ilości i ilości NOK?</t>
  </si>
  <si>
    <t>Zdefiniowano i wdrożono natychmiastowe środki w celu ochrony firmy Elektra i klientów końcowych.</t>
  </si>
  <si>
    <t>Raport 8D został zaproponowany do zamknięcia i podpisany przez kierownika zespołu.</t>
  </si>
  <si>
    <t>Ocena 8D- Raport</t>
  </si>
  <si>
    <t>Dodatkowa ocena przez firmę Elektra</t>
  </si>
  <si>
    <t>Jeśli wymagane jest dodatkowe miejsce na rozszerzenie raportu 8D</t>
  </si>
  <si>
    <t>Planowana data</t>
  </si>
  <si>
    <t>Data realizacji</t>
  </si>
  <si>
    <t>Komentarze / Uwagi</t>
  </si>
  <si>
    <t>sugerowane do zamknięcia</t>
  </si>
  <si>
    <t>Ogólna ocena</t>
  </si>
  <si>
    <t>Wynik</t>
  </si>
  <si>
    <t>Kontrola kompletności i wiarygodności</t>
  </si>
  <si>
    <t>Ta ocena zostanie uwzględniona w ocenie dostawcy.</t>
  </si>
  <si>
    <t>Nazwa dokumentu:</t>
  </si>
  <si>
    <t>Polski</t>
  </si>
  <si>
    <t>D1 - Zespół</t>
  </si>
  <si>
    <t>8D - Zespół</t>
  </si>
  <si>
    <t>Zaakceptowany</t>
  </si>
  <si>
    <t>Sprache wählen:</t>
  </si>
  <si>
    <t>Select your language:</t>
  </si>
  <si>
    <t>Wybierz swój język:</t>
  </si>
  <si>
    <t>Reklamationsnummer (Kunde):</t>
  </si>
  <si>
    <t>Complaint number (Customer):</t>
  </si>
  <si>
    <t>Numer skargi (Klient):</t>
  </si>
  <si>
    <t>Kunde:</t>
  </si>
  <si>
    <t>Customer:</t>
  </si>
  <si>
    <t>Klient:</t>
  </si>
  <si>
    <t>Ansprechpartner (Kunde):</t>
  </si>
  <si>
    <t>Contact Person (Customer):</t>
  </si>
  <si>
    <t>Osoba kontaktowa (Klient):</t>
  </si>
  <si>
    <t>8D gestartet am:</t>
  </si>
  <si>
    <t>8D started on:</t>
  </si>
  <si>
    <t>Fehlerverdächtige Menge beim Kunden:</t>
  </si>
  <si>
    <t>Fehlerverdächtige Menge beim Lieferanten:</t>
  </si>
  <si>
    <t>Suspected quantity at the customer:</t>
  </si>
  <si>
    <t>Suspected faulty quantity at the supplier:</t>
  </si>
  <si>
    <t>Podejrzana ilość u klienta:</t>
  </si>
  <si>
    <t>Podejrzewana wadliwa ilość u dostawcy:</t>
  </si>
  <si>
    <t>Sind weiter Sachnummern Betroffen, wenn JA welche:</t>
  </si>
  <si>
    <t>Are further part numbers affected, if YES which ones:</t>
  </si>
  <si>
    <t>Czy dotyczy to innych numerów części, jeśli TAK, to których:</t>
  </si>
  <si>
    <t xml:space="preserve">
</t>
  </si>
  <si>
    <t>FMEA kontrolliert</t>
  </si>
  <si>
    <t>Control plan (series inspection)</t>
  </si>
  <si>
    <t>Prüfplan (Serienprüfung)</t>
  </si>
  <si>
    <t>Plan kontroli (inspekcja seryjna)</t>
  </si>
  <si>
    <t>PLP kontrolliert</t>
  </si>
  <si>
    <t>FMEA checked and updated</t>
  </si>
  <si>
    <t>Control Plan (CP) checked and updated</t>
  </si>
  <si>
    <t>FMEA sprawdzone i zaktualizowane</t>
  </si>
  <si>
    <t>Plan kontroli sprawdzone i zaktualizowane</t>
  </si>
  <si>
    <t>Produktionslenkungsplan (PLP) kontrolliert und aktualisiert</t>
  </si>
  <si>
    <t>FMEA kontrolliert und aktualisiert</t>
  </si>
  <si>
    <t>! Nachweispflicht für aktualisierte Dokumente !</t>
  </si>
  <si>
    <t>! Duty of proof for updated documents !</t>
  </si>
  <si>
    <t>D1</t>
  </si>
  <si>
    <t>D2</t>
  </si>
  <si>
    <t>D3</t>
  </si>
  <si>
    <t>D4</t>
  </si>
  <si>
    <t>D5</t>
  </si>
  <si>
    <t>D6</t>
  </si>
  <si>
    <t>D7</t>
  </si>
  <si>
    <t>D8</t>
  </si>
  <si>
    <t>%</t>
  </si>
  <si>
    <t>Sprachauswahl</t>
  </si>
  <si>
    <t>Reiter</t>
  </si>
  <si>
    <t>Dropdown / Special</t>
  </si>
  <si>
    <t>Team entscheidet welche Ursachen am wahrscheinlichsten sind (markiere die Entscheidung mit den Vorgegebenen Symbolen).</t>
  </si>
  <si>
    <t>Basic Data</t>
  </si>
  <si>
    <t>First delivery after validation of the corrective actions (Breakpoint Delivery)</t>
  </si>
  <si>
    <t>Erste Lieferung nach Validierung der Abstellmaßnahmen (Breakpoint Lieferung)</t>
  </si>
  <si>
    <t>5- WHY</t>
  </si>
  <si>
    <t>100%  -  80%      A</t>
  </si>
  <si>
    <t>79%  -  65%      B</t>
  </si>
  <si>
    <t>64%  -  0%      C</t>
  </si>
  <si>
    <t>Assessment</t>
  </si>
  <si>
    <t>D1-D3</t>
  </si>
  <si>
    <t>D4-D5</t>
  </si>
  <si>
    <t>D6-D8</t>
  </si>
  <si>
    <t>Kontrolle auf Vollständigkeit und Plausibilität der aktualisierten Dokumente</t>
  </si>
  <si>
    <t>Verification of the completeness and plausibility of the updated documents</t>
  </si>
  <si>
    <t>Sprawdzenie kompletności i wiarygodności zaktualizowanych dokumentów</t>
  </si>
  <si>
    <t>Kontrolle auf  Plausibilität der eingeführten Abstellmaßnahmen</t>
  </si>
  <si>
    <t>Verification of the plausibility of the implemented corrective actions</t>
  </si>
  <si>
    <t>Weryfikacja wiarygodności wdrożonych działań naprawczych</t>
  </si>
  <si>
    <t>Teammitglieder wurde mit Name und Position benannt</t>
  </si>
  <si>
    <t xml:space="preserve">Der Fehler wurde beschrieben </t>
  </si>
  <si>
    <t xml:space="preserve"> W-Fragen wurden beantwortet</t>
  </si>
  <si>
    <t>Kennzeichnung mit Elektra Label</t>
  </si>
  <si>
    <t>Labeling with the Elektra Label</t>
  </si>
  <si>
    <t>Auslieferdatum und Lieferscheinnummer wurden definiert</t>
  </si>
  <si>
    <t>Mindestens zwei Abstellmaßnahmen zur Entstehung wurden bestimmt</t>
  </si>
  <si>
    <t>Mindestens zwei Abstellmaßnahmen zur Erkennung wurden bestimmt</t>
  </si>
  <si>
    <t>Punkt(e)</t>
  </si>
  <si>
    <t>Arbeitsanweisung</t>
  </si>
  <si>
    <t>Work Instructions</t>
  </si>
  <si>
    <t>Instrukcje dotyczące pracy</t>
  </si>
  <si>
    <t>Wirksamkeitprüfung der implementierten Abstellmaßnahmen wurde nachgewiesen.</t>
  </si>
  <si>
    <t>The effectiveness of the implemented corrective actions has been verified.</t>
  </si>
  <si>
    <t>Skuteczność wdrożonych działań naprawczych została zweryfikowana.</t>
  </si>
  <si>
    <t>Wirksamkeitsprüfung wurde dargestellt</t>
  </si>
  <si>
    <t>Mindesetns eine Maßnahme gegen Wiederholfehler wurde getroffen</t>
  </si>
  <si>
    <t>Erreichbare Punkte</t>
  </si>
  <si>
    <t>Teamleiter wurde mit Name, Position, Telefon, Email angeben</t>
  </si>
  <si>
    <t>Mindestens drei Why bei Auftreten und Nichtentdecken angegeben</t>
  </si>
  <si>
    <t>8D wurde "für Abschluss vorgeschlagen"</t>
  </si>
  <si>
    <t>▪ FMEA wurden aktualisiert und nachweislich dargestellt.
▪ PLP wurden aktualisiert und nachweislich dargestellt.</t>
  </si>
  <si>
    <t>▪ Ursache zur Entstehung
▪ Ursache zur Nichterkennung wurden angegeben</t>
  </si>
  <si>
    <t>▪ Auslieferdatum
▪ Lieferscheinnummer wurden angegeben</t>
  </si>
  <si>
    <t>FMEA und PLP wurden aktualisiert und nachweislich dargestellt (vorher / nachher).</t>
  </si>
  <si>
    <t>The FMEA and the PLP have been updated and documented (before / after).</t>
  </si>
  <si>
    <t>Analiza FMEA oraz plan PLP zostały zaktualizowane i udokumentowane (stan przed / stan po).</t>
  </si>
  <si>
    <t>Erste Lieferung nach implementierung der Sofortmaßnahmen wurde festgelegt. Identifikation des i.O Materials und wann die erste Anlieferung mit i.O Material Elektra erreicht.</t>
  </si>
  <si>
    <t>Breakpoint wurde festgelegt. Identifikation des i.O Materials und wann die ersten Anlieferung mit i.O Material Elektra erreicht.</t>
  </si>
  <si>
    <t>Breakpoint has been set. Identification of OK material and when the first delivery with OK material will reach Elektra.</t>
  </si>
  <si>
    <t>The first shipment after implementation of the containment actions has been scheduled. Identification of the OK material and the date when the first shipment of OK material will arrive at Elektra.</t>
  </si>
  <si>
    <t>D1.1</t>
  </si>
  <si>
    <t>D1.2</t>
  </si>
  <si>
    <t>D2.1</t>
  </si>
  <si>
    <t>D2.2</t>
  </si>
  <si>
    <t>D2.3</t>
  </si>
  <si>
    <t>Fields or text marked in red are required</t>
  </si>
  <si>
    <t>Rot markierte Felder oder Text sind Pflichtangaben</t>
  </si>
  <si>
    <t>Pola lub tekst zaznaczone na czerwono są obowiązkowe</t>
  </si>
  <si>
    <t>Mindestens drei Sofortmaßnahmen wurden definiert und validiert</t>
  </si>
  <si>
    <t>D3.1</t>
  </si>
  <si>
    <t>D3.2</t>
  </si>
  <si>
    <t>D4.1</t>
  </si>
  <si>
    <t>ISHIKAWA wurden angewandt</t>
  </si>
  <si>
    <t>Zastosowano metodę ISHIKAWA</t>
  </si>
  <si>
    <t>ISHIKAWA methods were applied</t>
  </si>
  <si>
    <t>5-Why</t>
  </si>
  <si>
    <t>D5.1</t>
  </si>
  <si>
    <t>D5.2</t>
  </si>
  <si>
    <t>D6.1</t>
  </si>
  <si>
    <t>D6.2</t>
  </si>
  <si>
    <t>D6.3</t>
  </si>
  <si>
    <t>D7.1</t>
  </si>
  <si>
    <t>D7.2</t>
  </si>
  <si>
    <t>D7.3</t>
  </si>
  <si>
    <t>Mindestens eine Abstellmaßnahmen zur Entstehung wurden implementiert und validiert</t>
  </si>
  <si>
    <t>Mindestens eine Abstellmaßnahmen zur Erkennung wurden implementiert und validiert</t>
  </si>
  <si>
    <t>Points</t>
  </si>
  <si>
    <t>Result if “False”</t>
  </si>
  <si>
    <t>D4.1.1</t>
  </si>
  <si>
    <t>D4.1.2</t>
  </si>
  <si>
    <t>Überprüfung auf Plausibilität von ISHIKAWA und 5- Why</t>
  </si>
  <si>
    <t>Plausibility Check Using the ISHIKAWA Diagram and the 5 Whys</t>
  </si>
  <si>
    <t>Root cause analyses were conducted and are presented in a clear and understandable manner</t>
  </si>
  <si>
    <t>Es wurden Ursachenanalysen durchgeführt, die klar und verständlich dargestellt sind</t>
  </si>
  <si>
    <t>Przeprowadzono analizy przyczyn, które zostały przedstawione w sposób jasny i zrozumiały.</t>
  </si>
  <si>
    <t>Kontrolle auf Vollständigkeit und Plausibilität der geplanten Abstellmaßnahmen.</t>
  </si>
  <si>
    <t>Sprawdzenie kompletności i wiarygodności planowanych działań naprawczych.</t>
  </si>
  <si>
    <t>Verification of the completeness and plausibility of the planned corrective actions.</t>
  </si>
  <si>
    <t>Review of Elektra</t>
  </si>
  <si>
    <t>Total</t>
  </si>
  <si>
    <t>Kontrolle auf Vollständigkeit und Plausibilität von FMEA und PLP</t>
  </si>
  <si>
    <t>Verification of the completeness and plausibility of the FMEA and CP</t>
  </si>
  <si>
    <t>Weryfikacja kompletności i wiarygodności analizy FMEA oraz planu CP</t>
  </si>
  <si>
    <t>Quality 8D</t>
  </si>
  <si>
    <t>Sonstiges</t>
  </si>
  <si>
    <t>Other</t>
  </si>
  <si>
    <t>Inne</t>
  </si>
  <si>
    <t>Pflichtangaben im Dokument wurden erbracht (rot markiert)</t>
  </si>
  <si>
    <t>Wymagane informacje w dokumencie zostały podane (zaznaczone na czerwono)</t>
  </si>
  <si>
    <t>Required information in the document has been provided (highlighted in red)</t>
  </si>
  <si>
    <t>Review Assessment</t>
  </si>
  <si>
    <t>Potentielle Ursachen für Auftreten und Nichtentdecken sind identifiziert und plausible.</t>
  </si>
  <si>
    <t>Potential causes for the occurrence and non-detection are identified and plausible.</t>
  </si>
  <si>
    <t>Plausible Abstellmaßnahmen zur Fehlerentstehung wurden bestimmt.</t>
  </si>
  <si>
    <t>Plausible Abstellmaßnahmen zur Fehlererkennung wurden bestimmt.</t>
  </si>
  <si>
    <t>Plausible Abstellmaßnahmen zur Fehlerentstehung wurden eingeführt.</t>
  </si>
  <si>
    <t>Plausible Abstellmaßnahmen zur Fehlererkennung wurden eingeführt.</t>
  </si>
  <si>
    <t>Plausible corrective actions to address the root cause of the error were identified.</t>
  </si>
  <si>
    <t>Plausible corrective actions for error detection were identified.</t>
  </si>
  <si>
    <t>Plausible corrective actions to address the root cause of the error have been implemented.</t>
  </si>
  <si>
    <t>Wprowadzono realne działania naprawcze mające na celu wyeliminowanie pierwotnej przyczyny błędu.</t>
  </si>
  <si>
    <t>Plausible corrective actions for error detection have been implemented.</t>
  </si>
  <si>
    <t>Wprowadzono realne działania naprawcze mające na celu wykrywanie błędów.</t>
  </si>
  <si>
    <t>▪ Reproduzierbarkeit des Fehlers zur Entstehung mit "Ja" angegeben
▪ Reproduzierbarkeit des Fehlers zur Nichterkennung mit "Ja" angegeben
▪ Reproduzierbarkeit des Fehlers zur Entstehung mit "Nein" angegeben dann nur mit Definition
▪ Reproduzierbarkeit des Fehlers zur Nichterkennung mit "Nein" angegeben dann nur mit Definition</t>
  </si>
  <si>
    <t>▪ Fehlerverdächtige Menge beim Kunden
▪ Fehlerverdächtige Menge beim Lieferant
▪ Fehlerverdächtige Menge im Transport wurde angegeben.</t>
  </si>
  <si>
    <t>Point(s)</t>
  </si>
  <si>
    <t>Punkt(y)</t>
  </si>
  <si>
    <t>Mindestens zwei Angaben pro"Methode" bei Auftreten und Nichtentdecken (ISHIKAWA)</t>
  </si>
  <si>
    <t>Je Entscheidung</t>
  </si>
  <si>
    <t>Je Frage</t>
  </si>
  <si>
    <t>Je Feld</t>
  </si>
  <si>
    <t>Je Maßnahme</t>
  </si>
  <si>
    <t>Je "Why"</t>
  </si>
  <si>
    <t>Je Angabe</t>
  </si>
  <si>
    <t>Je Dokument</t>
  </si>
  <si>
    <t>Per question</t>
  </si>
  <si>
    <t>Za każde pytanie</t>
  </si>
  <si>
    <t>Per field</t>
  </si>
  <si>
    <t>W podziale na pola</t>
  </si>
  <si>
    <t>Per action</t>
  </si>
  <si>
    <t>Za każdą operację</t>
  </si>
  <si>
    <t>Per decision</t>
  </si>
  <si>
    <t>Zgodnie z decyzją</t>
  </si>
  <si>
    <t>Per entry</t>
  </si>
  <si>
    <t>Za każdą pozycję</t>
  </si>
  <si>
    <t>Each “Why”</t>
  </si>
  <si>
    <t>Każde „dlaczego”</t>
  </si>
  <si>
    <t>Per document</t>
  </si>
  <si>
    <t>Za dokument</t>
  </si>
  <si>
    <t>Explanation</t>
  </si>
  <si>
    <t>Erklärung</t>
  </si>
  <si>
    <t>Wyjaśnienie</t>
  </si>
  <si>
    <t>Team leader's name, position, phone number, and email address</t>
  </si>
  <si>
    <t>Imię i nazwisko kierownika zespołu, stanowisko, numer telefonu i adres e-mail</t>
  </si>
  <si>
    <t>Team members were listed by name and position</t>
  </si>
  <si>
    <t>Członkowie zespołu zostali wymienieni według nazwisk i stanowisk</t>
  </si>
  <si>
    <t xml:space="preserve">The error has been described </t>
  </si>
  <si>
    <t xml:space="preserve">Błąd został opisany </t>
  </si>
  <si>
    <t xml:space="preserve"> Udzielono odpowiedzi na pytania</t>
  </si>
  <si>
    <t xml:space="preserve"> The questions were answered</t>
  </si>
  <si>
    <t>▪ Quantity suspected of being defective at the customer's site
▪ Quantity suspected of being defective at the supplier's site
▪ A quantity suspected of being defective during transport was reported.</t>
  </si>
  <si>
    <t>At least three containment actions were defined and validated</t>
  </si>
  <si>
    <t>Zdefiniowano i zweryfikowano co najmniej trzy działania zabezpieczające</t>
  </si>
  <si>
    <t>▪ Delivery date
▪ Delivery note number were provided</t>
  </si>
  <si>
    <t>▪ Cause of occurrence
▪ Causes of non-detection were specified</t>
  </si>
  <si>
    <t>At least two entries per “method” for occurrence and non-detection (ISHIKAWA)</t>
  </si>
  <si>
    <t>Co najmniej dwa wpisy na każdą „metodę” – dotyczące wykrycia i braku wykrycia (ISHIKAWA)</t>
  </si>
  <si>
    <t>At least three “whys” must be specified for occurrences and undetected instances</t>
  </si>
  <si>
    <t>At least two corrective actions were identified to address the root cause</t>
  </si>
  <si>
    <t>Zidentyfikowano co najmniej dwa działania naprawcze mające na celu wyeliminowanie przyczyny źródłowej</t>
  </si>
  <si>
    <t>At least two corrective actions for detection were identified</t>
  </si>
  <si>
    <t>Zidentyfikowano co najmniej dwa działania naprawcze dotyczące wykrywania</t>
  </si>
  <si>
    <t>At least one corrective action to address the root cause has been implemented and validated</t>
  </si>
  <si>
    <t>Wprowadzono i zweryfikowano co najmniej jedno działanie naprawcze mające na celu wyeliminowanie przyczyny źródłowej</t>
  </si>
  <si>
    <t>At least one corrective action for detection has been implemented and validated</t>
  </si>
  <si>
    <t>Wdrożono i zweryfikowano co najmniej jedno działanie naprawcze w zakresie wykrywania</t>
  </si>
  <si>
    <t>The efficacy study was presented</t>
  </si>
  <si>
    <t>Przedstawiono wyniki badania skuteczności</t>
  </si>
  <si>
    <t>▪ FMEA reports have been updated and documented.
▪ PLP reports have been updated and documented.</t>
  </si>
  <si>
    <t>▪ Raporty FMEA zostały zaktualizowane i udokumentowane.
▪ Raporty PLP zostały zaktualizowane i udokumentowane.</t>
  </si>
  <si>
    <t>At least one action has been taken to prevent recurring errors</t>
  </si>
  <si>
    <t>Podjęto co najmniej jedno działanie mające na celu zapobieganie powtarzającym się błędom</t>
  </si>
  <si>
    <t>The shipping date and delivery note number have been defined</t>
  </si>
  <si>
    <t>8D was “recommended for closure”</t>
  </si>
  <si>
    <t>Erhaltene Punkte</t>
  </si>
  <si>
    <t>Points Earned</t>
  </si>
  <si>
    <t>Zdobyte punkty</t>
  </si>
  <si>
    <t>Possible points</t>
  </si>
  <si>
    <t>Możliwe punkty</t>
  </si>
  <si>
    <t>Geplant</t>
  </si>
  <si>
    <t>Planned</t>
  </si>
  <si>
    <t>Planowane</t>
  </si>
  <si>
    <t xml:space="preserve">  </t>
  </si>
  <si>
    <t>Data rozpoczęcia 8D</t>
  </si>
  <si>
    <t>Nazwa (Lider zespołu)</t>
  </si>
  <si>
    <t>Pierwsza dostawa po wdrożeniu działań zabezpieczających</t>
  </si>
  <si>
    <t>Identyfikacja</t>
  </si>
  <si>
    <t>Data dostawy/KW</t>
  </si>
  <si>
    <t>Czy błąd może być odtworzony?</t>
  </si>
  <si>
    <t>Czy można odtworzyć błąd?</t>
  </si>
  <si>
    <t>Reklamacja:</t>
  </si>
  <si>
    <t>Relamacja:</t>
  </si>
  <si>
    <t>5.1 Planowane działania dla wystąpienia</t>
  </si>
  <si>
    <t>5.2 Planowane działania dla niewykrycia</t>
  </si>
  <si>
    <t>6.2 Wdrożone działania dotyczące niewykrycia</t>
  </si>
  <si>
    <t>Następujące dokumenty zostały zaktualizowane, prosimy o wprowadzenie dowodów w arkuszu "Dokumenty"</t>
  </si>
  <si>
    <t>! Obowiązek przedstawienia dowodów dla zaktualizowanych dokumentów !</t>
  </si>
  <si>
    <t>Człowiek</t>
  </si>
  <si>
    <t>Pierwsza dostawa po zatwierdzeniu działań naprawczych (Breakpoint)</t>
  </si>
  <si>
    <t>Aktualny:</t>
  </si>
  <si>
    <t>Dodatkowe informacje</t>
  </si>
  <si>
    <t>Przetestuj każdą najbardziej prawdopodobną przyczynę źródłową w odniesieniu do problemu oraz potwierdzić jej wpływ poprzez wykazanie, że problem pojawia się i zanika w zależności od występowania tej przyczyny.</t>
  </si>
  <si>
    <t>Powołano zespół interdyscyplinarny oraz określono funkcje jego uczestników.</t>
  </si>
  <si>
    <t>Przedstawiono jednoznaczny opis niezgodności wraz z oceną jej wpływu</t>
  </si>
  <si>
    <t>Do opisu problemu wykorzystano metodę pytań „W”</t>
  </si>
  <si>
    <t>Zaplanowano pierwszą dostawę po wdrożeniu działań zabezpieczających. Określono sposób identyfikacji wyrobu zgodnego oraz datę, w której pierwsza dostawa zgodnego wyrobu dotrze do Elektra</t>
  </si>
  <si>
    <t>Zidentyfikowano potencjalne przyczyny wystąpienia oraz niewykrycia niezgodności i uznano je za wiarygodne</t>
  </si>
  <si>
    <t>Przeprowadzono analizę metodą 5Why</t>
  </si>
  <si>
    <t>Zidentyfikowano wiarygodne działania korygujące dotyczące wykrywania niezgodności.</t>
  </si>
  <si>
    <t>Zidentyfikowano wiarygdne działania naprawcze mające na celu wyeliminowanie pierwotnej przyczyny błędu.</t>
  </si>
  <si>
    <t>Określono działani zapobiegające ponownemu wystąpieniu / Wdrożono Lessons Learned</t>
  </si>
  <si>
    <t>Określono Breakpoint. Zdefiniowano sposób identyfikacji wyrobu zgodnego oraz datę, w której pierwsza dostawa zgodnego wyrobu dotrze do Elektra.</t>
  </si>
  <si>
    <t>Czy przedstawiono graficzną ilustrację problemu? Czy zdjęcia wyraźnie przedstawiają niezgodność (zdjęcie OK/NOK lub odpowiedni fragment rysunku)?</t>
  </si>
  <si>
    <t>Sprawdzanie wiarygodności przy użyciu diagramu ISHIKAWY i metody 5Why</t>
  </si>
  <si>
    <t>Klucz oceny</t>
  </si>
  <si>
    <t>▪ Ilość, co do której istnieje podejrzenie, że jest wadliwa u klienta
▪ Ilość, co do której istnieje podejrzenie, że jest wadliwa u dostawcy
▪ Zgłoszono ilość, co do których istnieje podejrzenie, że znajdują się w transporcie do klienta.</t>
  </si>
  <si>
    <t>▪ Termin dostawy
▪ Podano numer dowodu dostawy</t>
  </si>
  <si>
    <t>▪ Przyczyna wystąpienia
▪ Określono przyczyny braku wykrycia</t>
  </si>
  <si>
    <t>▪ Reproducibility of the error regarding its occurrence indicated as “Yes”
▪ Reproducibility of the error regarding its non-detection indicated as “Yes”
▪ If reproducibility of the error regarding its occurrence is indicated as “No,” then only include the definition
▪ If reproducibility of the error regarding its non-detection is indicated as “No,” then only include the definition</t>
  </si>
  <si>
    <t>▪ Odtwarzalność niezgodności w zakresie jej wystąpienia oznaczono jako „Tak”
▪ Odtwarzalność niezgodności w zakresie jej niewykrycia oznaczono jako „Tak”
▪ Jeżeli odtwarzalność niezgodności w zakresie jej wystąpienia została oznaczona jako „Nie”, należy podać jedynie jej definicję
▪ JJeżeli odtwarzalność niezgodności w zakresie jej niewykrycia została oznaczona jako „Nie”, należy podać jedynie jej definicję</t>
  </si>
  <si>
    <t>Dla przyczyn wystąpienia oraz niewykrycia niezgodności należy przeprowadzić analizę obejmującą co najmniej trzy poziomy „Dlaczego?”</t>
  </si>
  <si>
    <t>Określono datę wysyłki oraz numer dowodu dostawy</t>
  </si>
  <si>
    <t>Raport 8D został rekomendowany do zamknięcia</t>
  </si>
  <si>
    <t>ELS:840 01 04
EOT:4 1021 03-02T
PEL:100 02 03</t>
  </si>
  <si>
    <t>Rev.07</t>
  </si>
  <si>
    <t>Elektra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</si>
</sst>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1"/>
      <color theme="1"/>
      <name val="Calibri"/>
      <family val="2"/>
      <scheme val="minor"/>
    </font>
    <font>
      <sz val="8"/>
      <color theme="1"/>
      <name val="Arial"/>
      <family val="2"/>
    </font>
    <font>
      <sz val="10"/>
      <name val="Arial"/>
      <family val="2"/>
    </font>
    <font>
      <sz val="8"/>
      <name val="Arial"/>
      <family val="2"/>
    </font>
    <font>
      <b/>
      <sz val="10"/>
      <color theme="1"/>
      <name val="Arial"/>
      <family val="2"/>
    </font>
    <font>
      <b/>
      <sz val="18"/>
      <color theme="1"/>
      <name val="Arial"/>
      <family val="2"/>
    </font>
    <font>
      <sz val="7"/>
      <color theme="1"/>
      <name val="Arial"/>
      <family val="2"/>
    </font>
    <font>
      <b/>
      <sz val="9"/>
      <color theme="1"/>
      <name val="Arial"/>
      <family val="2"/>
    </font>
    <font>
      <b/>
      <sz val="8"/>
      <color theme="1"/>
      <name val="Arial"/>
      <family val="2"/>
    </font>
    <font>
      <sz val="8"/>
      <color theme="1"/>
      <name val="Wingdings 3"/>
      <family val="1"/>
      <charset val="2"/>
    </font>
    <font>
      <b/>
      <u/>
      <sz val="8"/>
      <color theme="1"/>
      <name val="Arial"/>
      <family val="2"/>
    </font>
    <font>
      <sz val="8"/>
      <color rgb="FFFF0000"/>
      <name val="Arial"/>
      <family val="2"/>
    </font>
    <font>
      <b/>
      <sz val="8"/>
      <name val="Arial"/>
      <family val="2"/>
    </font>
    <font>
      <b/>
      <sz val="11"/>
      <color theme="1"/>
      <name val="Calibri"/>
      <family val="2"/>
      <scheme val="minor"/>
    </font>
    <font>
      <sz val="11"/>
      <name val="Calibri"/>
      <family val="2"/>
      <scheme val="minor"/>
    </font>
    <font>
      <b/>
      <sz val="9"/>
      <name val="Arial"/>
      <family val="2"/>
    </font>
    <font>
      <b/>
      <sz val="10"/>
      <name val="Arial"/>
      <family val="2"/>
    </font>
    <font>
      <b/>
      <u/>
      <sz val="8"/>
      <name val="Arial"/>
      <family val="2"/>
    </font>
    <font>
      <u/>
      <sz val="11"/>
      <color theme="10"/>
      <name val="Calibri"/>
      <family val="2"/>
      <scheme val="minor"/>
    </font>
    <font>
      <b/>
      <sz val="10"/>
      <color theme="4"/>
      <name val="Arial"/>
      <family val="2"/>
    </font>
    <font>
      <sz val="8"/>
      <color theme="4"/>
      <name val="Arial"/>
      <family val="2"/>
    </font>
    <font>
      <b/>
      <sz val="11"/>
      <color theme="1"/>
      <name val="Arial"/>
      <family val="2"/>
    </font>
    <font>
      <b/>
      <sz val="16"/>
      <color theme="4"/>
      <name val="Arial"/>
      <family val="2"/>
    </font>
    <font>
      <b/>
      <sz val="10"/>
      <color theme="0"/>
      <name val="Arial"/>
      <family val="2"/>
    </font>
    <font>
      <sz val="6"/>
      <color theme="1"/>
      <name val="Arial"/>
      <family val="2"/>
    </font>
    <font>
      <sz val="10"/>
      <name val="Univers"/>
      <family val="2"/>
    </font>
    <font>
      <b/>
      <sz val="16"/>
      <name val="Arial"/>
      <family val="2"/>
    </font>
    <font>
      <sz val="10"/>
      <color theme="1"/>
      <name val="Arial"/>
      <family val="2"/>
    </font>
    <font>
      <sz val="11"/>
      <color theme="1"/>
      <name val="Wingdings 3"/>
      <family val="1"/>
      <charset val="2"/>
    </font>
    <font>
      <b/>
      <u/>
      <sz val="12"/>
      <color rgb="FF0070C0"/>
      <name val="Arial"/>
      <family val="2"/>
    </font>
    <font>
      <b/>
      <sz val="7"/>
      <color theme="1"/>
      <name val="Arial"/>
      <family val="2"/>
    </font>
    <font>
      <sz val="11"/>
      <color theme="0"/>
      <name val="Calibri"/>
      <family val="2"/>
      <scheme val="minor"/>
    </font>
    <font>
      <b/>
      <sz val="14"/>
      <color theme="1"/>
      <name val="Arial"/>
      <family val="2"/>
    </font>
    <font>
      <b/>
      <sz val="8"/>
      <color theme="0"/>
      <name val="Arial"/>
      <family val="2"/>
    </font>
    <font>
      <sz val="8"/>
      <color theme="0"/>
      <name val="Arial"/>
      <family val="2"/>
    </font>
    <font>
      <sz val="8"/>
      <name val="Calibri"/>
      <family val="2"/>
      <scheme val="minor"/>
    </font>
    <font>
      <sz val="8"/>
      <color theme="8"/>
      <name val="Arial"/>
      <family val="2"/>
    </font>
    <font>
      <sz val="6"/>
      <color theme="8"/>
      <name val="Arial"/>
      <family val="2"/>
    </font>
    <font>
      <b/>
      <sz val="8"/>
      <color theme="8"/>
      <name val="Arial"/>
      <family val="2"/>
    </font>
    <font>
      <sz val="11"/>
      <color theme="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6"/>
      <name val="Univers"/>
      <family val="2"/>
    </font>
    <font>
      <sz val="9"/>
      <name val="Arial"/>
      <family val="2"/>
    </font>
    <font>
      <sz val="8"/>
      <name val="Univers"/>
      <family val="2"/>
    </font>
    <font>
      <b/>
      <sz val="12"/>
      <name val="Arial"/>
      <family val="2"/>
    </font>
    <font>
      <b/>
      <sz val="12"/>
      <color theme="1"/>
      <name val="Arial"/>
      <family val="2"/>
    </font>
    <font>
      <b/>
      <sz val="12"/>
      <color rgb="FF006100"/>
      <name val="Arial"/>
      <family val="2"/>
    </font>
    <font>
      <b/>
      <sz val="12"/>
      <color rgb="FF9C5700"/>
      <name val="Arial"/>
      <family val="2"/>
    </font>
    <font>
      <b/>
      <sz val="12"/>
      <color rgb="FF9C0006"/>
      <name val="Arial"/>
      <family val="2"/>
    </font>
    <font>
      <b/>
      <sz val="36"/>
      <color theme="1"/>
      <name val="Arial"/>
      <family val="2"/>
    </font>
    <font>
      <b/>
      <sz val="12"/>
      <color theme="1"/>
      <name val="Calibri"/>
      <family val="2"/>
      <scheme val="minor"/>
    </font>
    <font>
      <sz val="12"/>
      <color theme="1"/>
      <name val="Calibri"/>
      <family val="2"/>
      <scheme val="minor"/>
    </font>
    <font>
      <sz val="8"/>
      <color theme="1"/>
      <name val="Univers"/>
      <family val="2"/>
    </font>
    <font>
      <sz val="7"/>
      <color theme="1"/>
      <name val="Univers"/>
      <family val="2"/>
    </font>
    <font>
      <sz val="7"/>
      <name val="Arial"/>
      <family val="2"/>
    </font>
    <font>
      <b/>
      <sz val="7"/>
      <name val="Arial"/>
      <family val="2"/>
    </font>
    <font>
      <sz val="7"/>
      <name val="Univers"/>
      <family val="2"/>
    </font>
    <font>
      <b/>
      <sz val="9"/>
      <name val="Univers"/>
      <family val="2"/>
    </font>
    <font>
      <b/>
      <sz val="9"/>
      <color theme="1"/>
      <name val="Univers"/>
      <family val="2"/>
    </font>
    <font>
      <sz val="14"/>
      <color theme="1"/>
      <name val="Arial"/>
      <family val="2"/>
    </font>
    <font>
      <sz val="18"/>
      <color theme="1"/>
      <name val="Arial"/>
      <family val="2"/>
    </font>
    <font>
      <sz val="9"/>
      <color theme="1"/>
      <name val="Univers"/>
      <family val="2"/>
    </font>
  </fonts>
  <fills count="1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6969"/>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rgb="FFFFFF8F"/>
        <bgColor indexed="64"/>
      </patternFill>
    </fill>
    <fill>
      <patternFill patternType="solid">
        <fgColor theme="0" tint="-0.249977111117893"/>
        <bgColor indexed="64"/>
      </patternFill>
    </fill>
  </fills>
  <borders count="9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style="thin">
        <color auto="1"/>
      </bottom>
      <diagonal/>
    </border>
    <border>
      <left/>
      <right/>
      <top/>
      <bottom style="thick">
        <color theme="4"/>
      </bottom>
      <diagonal/>
    </border>
    <border>
      <left/>
      <right/>
      <top style="thin">
        <color theme="4"/>
      </top>
      <bottom/>
      <diagonal/>
    </border>
    <border>
      <left/>
      <right/>
      <top/>
      <bottom style="thin">
        <color theme="4"/>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4"/>
      </left>
      <right/>
      <top/>
      <bottom style="thick">
        <color theme="4"/>
      </bottom>
      <diagonal/>
    </border>
    <border>
      <left/>
      <right style="thick">
        <color theme="4"/>
      </right>
      <top/>
      <bottom style="thick">
        <color theme="4"/>
      </bottom>
      <diagonal/>
    </border>
    <border>
      <left/>
      <right style="thick">
        <color theme="4"/>
      </right>
      <top/>
      <bottom style="thin">
        <color theme="4"/>
      </bottom>
      <diagonal/>
    </border>
    <border>
      <left/>
      <right style="thick">
        <color theme="4"/>
      </right>
      <top style="thin">
        <color theme="4"/>
      </top>
      <bottom/>
      <diagonal/>
    </border>
    <border>
      <left/>
      <right/>
      <top/>
      <bottom style="thin">
        <color theme="0" tint="-0.24994659260841701"/>
      </bottom>
      <diagonal/>
    </border>
    <border>
      <left style="thin">
        <color auto="1"/>
      </left>
      <right style="thin">
        <color auto="1"/>
      </right>
      <top style="thin">
        <color auto="1"/>
      </top>
      <bottom/>
      <diagonal/>
    </border>
    <border>
      <left style="thin">
        <color auto="1"/>
      </left>
      <right/>
      <top style="thin">
        <color auto="1"/>
      </top>
      <bottom style="thin">
        <color theme="0" tint="-0.24994659260841701"/>
      </bottom>
      <diagonal/>
    </border>
    <border>
      <left/>
      <right/>
      <top style="thin">
        <color auto="1"/>
      </top>
      <bottom style="thin">
        <color theme="0" tint="-0.24994659260841701"/>
      </bottom>
      <diagonal/>
    </border>
    <border>
      <left/>
      <right style="thin">
        <color auto="1"/>
      </right>
      <top style="thin">
        <color auto="1"/>
      </top>
      <bottom style="thin">
        <color theme="0" tint="-0.24994659260841701"/>
      </bottom>
      <diagonal/>
    </border>
    <border>
      <left style="thin">
        <color auto="1"/>
      </left>
      <right/>
      <top style="thin">
        <color auto="1"/>
      </top>
      <bottom style="thin">
        <color theme="7" tint="0.79998168889431442"/>
      </bottom>
      <diagonal/>
    </border>
    <border>
      <left/>
      <right/>
      <top style="thin">
        <color auto="1"/>
      </top>
      <bottom style="thin">
        <color theme="7" tint="0.79998168889431442"/>
      </bottom>
      <diagonal/>
    </border>
    <border>
      <left/>
      <right style="thin">
        <color auto="1"/>
      </right>
      <top style="thin">
        <color auto="1"/>
      </top>
      <bottom style="thin">
        <color theme="7" tint="0.79998168889431442"/>
      </bottom>
      <diagonal/>
    </border>
    <border>
      <left style="thin">
        <color auto="1"/>
      </left>
      <right/>
      <top style="thin">
        <color theme="0" tint="-0.24994659260841701"/>
      </top>
      <bottom style="thin">
        <color auto="1"/>
      </bottom>
      <diagonal/>
    </border>
    <border>
      <left/>
      <right/>
      <top style="thin">
        <color theme="0" tint="-0.24994659260841701"/>
      </top>
      <bottom style="thin">
        <color auto="1"/>
      </bottom>
      <diagonal/>
    </border>
    <border>
      <left/>
      <right style="thin">
        <color auto="1"/>
      </right>
      <top style="thin">
        <color theme="0" tint="-0.24994659260841701"/>
      </top>
      <bottom style="thin">
        <color auto="1"/>
      </bottom>
      <diagonal/>
    </border>
    <border>
      <left style="thin">
        <color auto="1"/>
      </left>
      <right/>
      <top style="thin">
        <color theme="7" tint="0.79998168889431442"/>
      </top>
      <bottom style="thin">
        <color auto="1"/>
      </bottom>
      <diagonal/>
    </border>
    <border>
      <left/>
      <right/>
      <top style="thin">
        <color theme="7" tint="0.79998168889431442"/>
      </top>
      <bottom style="thin">
        <color auto="1"/>
      </bottom>
      <diagonal/>
    </border>
    <border>
      <left/>
      <right style="thin">
        <color auto="1"/>
      </right>
      <top style="thin">
        <color theme="7" tint="0.79998168889431442"/>
      </top>
      <bottom style="thin">
        <color auto="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auto="1"/>
      </left>
      <right/>
      <top style="thin">
        <color theme="7" tint="0.79998168889431442"/>
      </top>
      <bottom style="thin">
        <color theme="7" tint="0.79998168889431442"/>
      </bottom>
      <diagonal/>
    </border>
    <border>
      <left/>
      <right/>
      <top style="thin">
        <color theme="7" tint="0.79998168889431442"/>
      </top>
      <bottom style="thin">
        <color theme="7" tint="0.79998168889431442"/>
      </bottom>
      <diagonal/>
    </border>
    <border>
      <left/>
      <right style="thin">
        <color auto="1"/>
      </right>
      <top style="thin">
        <color theme="7" tint="0.79998168889431442"/>
      </top>
      <bottom style="thin">
        <color theme="7" tint="0.79998168889431442"/>
      </bottom>
      <diagonal/>
    </border>
    <border>
      <left style="thin">
        <color auto="1"/>
      </left>
      <right/>
      <top style="thin">
        <color theme="7" tint="0.79998168889431442"/>
      </top>
      <bottom/>
      <diagonal/>
    </border>
    <border>
      <left/>
      <right/>
      <top style="thin">
        <color theme="7" tint="0.79998168889431442"/>
      </top>
      <bottom/>
      <diagonal/>
    </border>
    <border>
      <left/>
      <right style="thin">
        <color auto="1"/>
      </right>
      <top style="thin">
        <color theme="7" tint="0.79998168889431442"/>
      </top>
      <bottom/>
      <diagonal/>
    </border>
    <border>
      <left style="thin">
        <color auto="1"/>
      </left>
      <right/>
      <top/>
      <bottom style="thin">
        <color theme="7" tint="0.79998168889431442"/>
      </bottom>
      <diagonal/>
    </border>
    <border>
      <left/>
      <right/>
      <top/>
      <bottom style="thin">
        <color theme="7" tint="0.79998168889431442"/>
      </bottom>
      <diagonal/>
    </border>
    <border>
      <left/>
      <right style="thin">
        <color auto="1"/>
      </right>
      <top/>
      <bottom style="thin">
        <color theme="7" tint="0.79998168889431442"/>
      </bottom>
      <diagonal/>
    </border>
    <border>
      <left style="thin">
        <color auto="1"/>
      </left>
      <right/>
      <top/>
      <bottom style="thin">
        <color theme="0" tint="-0.24994659260841701"/>
      </bottom>
      <diagonal/>
    </border>
    <border>
      <left/>
      <right style="thin">
        <color auto="1"/>
      </right>
      <top/>
      <bottom style="thin">
        <color theme="0" tint="-0.2499465926084170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theme="0" tint="-0.24994659260841701"/>
      </top>
      <bottom/>
      <diagonal/>
    </border>
    <border>
      <left/>
      <right/>
      <top style="thin">
        <color theme="0" tint="-0.24994659260841701"/>
      </top>
      <bottom/>
      <diagonal/>
    </border>
    <border>
      <left/>
      <right style="medium">
        <color auto="1"/>
      </right>
      <top style="thin">
        <color theme="0" tint="-0.24994659260841701"/>
      </top>
      <bottom/>
      <diagonal/>
    </border>
    <border>
      <left style="medium">
        <color auto="1"/>
      </left>
      <right/>
      <top/>
      <bottom style="thin">
        <color auto="1"/>
      </bottom>
      <diagonal/>
    </border>
    <border>
      <left style="medium">
        <color auto="1"/>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medium">
        <color auto="1"/>
      </right>
      <top/>
      <bottom/>
      <diagonal/>
    </border>
    <border>
      <left style="thin">
        <color theme="0" tint="-0.14996795556505021"/>
      </left>
      <right style="thin">
        <color theme="0" tint="-0.14996795556505021"/>
      </right>
      <top/>
      <bottom style="medium">
        <color auto="1"/>
      </bottom>
      <diagonal/>
    </border>
    <border>
      <left style="thin">
        <color theme="0" tint="-0.14996795556505021"/>
      </left>
      <right style="medium">
        <color auto="1"/>
      </right>
      <top/>
      <bottom style="medium">
        <color auto="1"/>
      </bottom>
      <diagonal/>
    </border>
    <border>
      <left style="medium">
        <color auto="1"/>
      </left>
      <right style="thin">
        <color theme="0" tint="-0.14996795556505021"/>
      </right>
      <top style="medium">
        <color auto="1"/>
      </top>
      <bottom/>
      <diagonal/>
    </border>
    <border>
      <left style="thin">
        <color theme="0" tint="-0.14996795556505021"/>
      </left>
      <right style="thin">
        <color theme="0" tint="-0.14996795556505021"/>
      </right>
      <top style="medium">
        <color auto="1"/>
      </top>
      <bottom/>
      <diagonal/>
    </border>
    <border>
      <left style="medium">
        <color auto="1"/>
      </left>
      <right style="thin">
        <color theme="0" tint="-0.14996795556505021"/>
      </right>
      <top/>
      <bottom style="medium">
        <color auto="1"/>
      </bottom>
      <diagonal/>
    </border>
    <border>
      <left style="thin">
        <color theme="0" tint="-0.14996795556505021"/>
      </left>
      <right style="medium">
        <color auto="1"/>
      </right>
      <top style="medium">
        <color auto="1"/>
      </top>
      <bottom/>
      <diagonal/>
    </border>
  </borders>
  <cellStyleXfs count="7">
    <xf numFmtId="0" fontId="0" fillId="0" borderId="0"/>
    <xf numFmtId="0" fontId="2" fillId="0" borderId="0"/>
    <xf numFmtId="0" fontId="18" fillId="0" borderId="0" applyNumberFormat="0" applyFill="0" applyBorder="0" applyAlignment="0" applyProtection="0"/>
    <xf numFmtId="0" fontId="25" fillId="0" borderId="0"/>
    <xf numFmtId="0" fontId="40" fillId="10" borderId="0" applyNumberFormat="0" applyBorder="0" applyAlignment="0" applyProtection="0"/>
    <xf numFmtId="0" fontId="41" fillId="11" borderId="0" applyNumberFormat="0" applyBorder="0" applyAlignment="0" applyProtection="0"/>
    <xf numFmtId="0" fontId="42" fillId="12" borderId="0" applyNumberFormat="0" applyBorder="0" applyAlignment="0" applyProtection="0"/>
  </cellStyleXfs>
  <cellXfs count="753">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9"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xf>
    <xf numFmtId="0" fontId="6" fillId="0" borderId="0" xfId="0" applyFont="1" applyAlignment="1">
      <alignment horizontal="left" vertical="center"/>
    </xf>
    <xf numFmtId="0" fontId="6" fillId="0" borderId="2" xfId="0" applyFont="1" applyBorder="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vertical="top"/>
    </xf>
    <xf numFmtId="0" fontId="8" fillId="0" borderId="0" xfId="0" applyFont="1" applyAlignment="1">
      <alignment vertical="center"/>
    </xf>
    <xf numFmtId="0" fontId="1" fillId="0" borderId="26" xfId="0" applyFont="1" applyBorder="1"/>
    <xf numFmtId="0" fontId="1" fillId="0" borderId="26" xfId="0" applyFont="1" applyBorder="1" applyAlignment="1">
      <alignmen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26"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3" fillId="2" borderId="7" xfId="0" applyFont="1" applyFill="1" applyBorder="1" applyAlignment="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 fillId="0" borderId="7" xfId="0" applyFont="1" applyBorder="1"/>
    <xf numFmtId="0" fontId="1" fillId="0" borderId="7" xfId="0" applyFont="1" applyBorder="1" applyAlignment="1">
      <alignment vertical="center"/>
    </xf>
    <xf numFmtId="0" fontId="9" fillId="0" borderId="8" xfId="0" applyFont="1" applyBorder="1" applyAlignment="1">
      <alignment horizontal="left" vertical="center"/>
    </xf>
    <xf numFmtId="0" fontId="1" fillId="0" borderId="0" xfId="0" applyFont="1" applyAlignment="1">
      <alignment vertical="top" wrapText="1"/>
    </xf>
    <xf numFmtId="0" fontId="7" fillId="0" borderId="4" xfId="0" applyFont="1" applyBorder="1" applyAlignment="1">
      <alignment vertical="center"/>
    </xf>
    <xf numFmtId="0" fontId="7" fillId="0" borderId="5" xfId="0" applyFont="1" applyBorder="1" applyAlignment="1">
      <alignment vertical="center"/>
    </xf>
    <xf numFmtId="0" fontId="1" fillId="0" borderId="33" xfId="0" applyFont="1" applyBorder="1" applyAlignment="1">
      <alignment horizontal="left" vertical="center"/>
    </xf>
    <xf numFmtId="0" fontId="1" fillId="0" borderId="2" xfId="0" applyFont="1" applyBorder="1" applyAlignment="1">
      <alignment vertical="top"/>
    </xf>
    <xf numFmtId="0" fontId="7" fillId="0" borderId="7" xfId="0" applyFont="1" applyBorder="1" applyAlignment="1">
      <alignment vertical="top"/>
    </xf>
    <xf numFmtId="0" fontId="11"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0" xfId="0" applyFont="1"/>
    <xf numFmtId="0" fontId="3" fillId="0" borderId="0" xfId="0" applyFont="1" applyAlignment="1">
      <alignment horizontal="center" vertical="center"/>
    </xf>
    <xf numFmtId="0" fontId="12" fillId="0" borderId="0" xfId="0" applyFont="1" applyAlignment="1">
      <alignment vertical="center"/>
    </xf>
    <xf numFmtId="0" fontId="3" fillId="0" borderId="0" xfId="0" applyFont="1" applyAlignment="1">
      <alignment vertical="top" wrapText="1"/>
    </xf>
    <xf numFmtId="0" fontId="10" fillId="0" borderId="0" xfId="0" applyFont="1" applyAlignment="1">
      <alignment vertical="center"/>
    </xf>
    <xf numFmtId="0" fontId="10" fillId="0" borderId="0" xfId="0" applyFont="1" applyAlignment="1">
      <alignment horizontal="left" vertical="center"/>
    </xf>
    <xf numFmtId="0" fontId="1" fillId="0" borderId="0" xfId="0" applyFont="1" applyAlignment="1">
      <alignment horizontal="left" vertical="top" wrapText="1"/>
    </xf>
    <xf numFmtId="0" fontId="7" fillId="0" borderId="0" xfId="0" applyFont="1" applyAlignment="1">
      <alignment vertical="top"/>
    </xf>
    <xf numFmtId="0" fontId="14" fillId="0" borderId="0" xfId="0" applyFont="1"/>
    <xf numFmtId="0" fontId="3" fillId="0" borderId="5" xfId="0" applyFont="1" applyBorder="1" applyAlignment="1">
      <alignment horizontal="left" vertical="center"/>
    </xf>
    <xf numFmtId="0" fontId="15" fillId="0" borderId="4" xfId="0" applyFont="1" applyBorder="1" applyAlignment="1">
      <alignment vertical="center"/>
    </xf>
    <xf numFmtId="0" fontId="15" fillId="0" borderId="5"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xf>
    <xf numFmtId="0" fontId="3" fillId="0" borderId="8"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7" fillId="0" borderId="0" xfId="0" applyFont="1" applyAlignment="1">
      <alignment vertical="center"/>
    </xf>
    <xf numFmtId="0" fontId="3" fillId="0" borderId="0" xfId="0" applyFont="1" applyAlignment="1">
      <alignment vertical="top"/>
    </xf>
    <xf numFmtId="0" fontId="3" fillId="0" borderId="0" xfId="0" applyFont="1" applyAlignment="1">
      <alignment vertical="center" wrapText="1"/>
    </xf>
    <xf numFmtId="0" fontId="3" fillId="0" borderId="31" xfId="0" applyFont="1" applyBorder="1" applyAlignment="1">
      <alignment vertical="top" wrapText="1"/>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0" borderId="26" xfId="0" applyFont="1" applyBorder="1" applyAlignment="1">
      <alignment vertical="center"/>
    </xf>
    <xf numFmtId="0" fontId="3" fillId="2" borderId="5" xfId="0" applyFont="1" applyFill="1" applyBorder="1" applyAlignment="1">
      <alignment horizontal="left" vertical="center"/>
    </xf>
    <xf numFmtId="0" fontId="12" fillId="2" borderId="0" xfId="0" applyFont="1" applyFill="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0" fillId="0" borderId="0" xfId="0" applyAlignment="1">
      <alignment horizontal="center"/>
    </xf>
    <xf numFmtId="0" fontId="0" fillId="0" borderId="0" xfId="0" applyAlignment="1" applyProtection="1">
      <alignment horizontal="center"/>
      <protection locked="0"/>
    </xf>
    <xf numFmtId="0" fontId="12" fillId="2" borderId="0" xfId="0" applyFont="1" applyFill="1" applyAlignment="1" applyProtection="1">
      <alignment horizontal="center" vertical="center"/>
      <protection locked="0"/>
    </xf>
    <xf numFmtId="0" fontId="12"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protection locked="0"/>
    </xf>
    <xf numFmtId="0" fontId="12" fillId="0" borderId="0" xfId="0" applyFont="1" applyAlignment="1" applyProtection="1">
      <alignment horizontal="center" vertical="top" wrapText="1"/>
      <protection locked="0"/>
    </xf>
    <xf numFmtId="0" fontId="16" fillId="0" borderId="0" xfId="0" applyFont="1" applyAlignment="1">
      <alignment vertical="center" wrapText="1"/>
    </xf>
    <xf numFmtId="0" fontId="7" fillId="0" borderId="2" xfId="0" applyFont="1" applyBorder="1" applyAlignment="1">
      <alignment vertical="center"/>
    </xf>
    <xf numFmtId="0" fontId="7" fillId="0" borderId="1" xfId="0" applyFont="1" applyBorder="1" applyAlignment="1">
      <alignment vertical="center"/>
    </xf>
    <xf numFmtId="0" fontId="7"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4" xfId="0" applyFont="1" applyBorder="1"/>
    <xf numFmtId="0" fontId="1" fillId="0" borderId="5" xfId="0" applyFont="1" applyBorder="1"/>
    <xf numFmtId="0" fontId="1" fillId="0" borderId="6" xfId="0" applyFont="1" applyBorder="1"/>
    <xf numFmtId="0" fontId="1" fillId="0" borderId="8" xfId="0" applyFont="1" applyBorder="1"/>
    <xf numFmtId="0" fontId="12" fillId="0" borderId="0" xfId="0" applyFont="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1" fillId="0" borderId="6" xfId="0" applyFont="1" applyBorder="1" applyAlignment="1">
      <alignment vertical="center"/>
    </xf>
    <xf numFmtId="0" fontId="1" fillId="0" borderId="8" xfId="0" applyFont="1" applyBorder="1"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18" fillId="0" borderId="0" xfId="2" applyFill="1" applyBorder="1" applyAlignment="1" applyProtection="1">
      <alignment vertical="center"/>
    </xf>
    <xf numFmtId="0" fontId="4" fillId="0" borderId="0" xfId="0" applyFont="1" applyAlignment="1">
      <alignment vertical="center"/>
    </xf>
    <xf numFmtId="0" fontId="9" fillId="0" borderId="0" xfId="0" applyFont="1" applyAlignment="1">
      <alignment horizontal="left" vertical="center"/>
    </xf>
    <xf numFmtId="0" fontId="0" fillId="6" borderId="0" xfId="0" applyFill="1"/>
    <xf numFmtId="0" fontId="15" fillId="6" borderId="0" xfId="0" applyFont="1" applyFill="1" applyAlignment="1">
      <alignment horizontal="left" vertical="center"/>
    </xf>
    <xf numFmtId="0" fontId="15" fillId="6" borderId="0" xfId="0" applyFont="1" applyFill="1" applyAlignment="1">
      <alignment vertical="center"/>
    </xf>
    <xf numFmtId="0" fontId="3" fillId="6" borderId="0" xfId="0" applyFont="1" applyFill="1" applyAlignment="1">
      <alignment vertical="top" wrapText="1"/>
    </xf>
    <xf numFmtId="0" fontId="0" fillId="0" borderId="4" xfId="0" applyBorder="1"/>
    <xf numFmtId="0" fontId="0" fillId="0" borderId="6" xfId="0" applyBorder="1"/>
    <xf numFmtId="0" fontId="0" fillId="0" borderId="7" xfId="0" applyBorder="1"/>
    <xf numFmtId="0" fontId="7" fillId="0" borderId="0" xfId="0" applyFont="1" applyAlignment="1">
      <alignment vertical="center" wrapText="1"/>
    </xf>
    <xf numFmtId="0" fontId="15" fillId="0" borderId="0" xfId="0" applyFont="1" applyAlignment="1">
      <alignment vertical="center" wrapText="1"/>
    </xf>
    <xf numFmtId="0" fontId="15" fillId="6" borderId="0" xfId="0" applyFont="1" applyFill="1" applyAlignment="1">
      <alignment vertical="center" wrapText="1"/>
    </xf>
    <xf numFmtId="0" fontId="0" fillId="0" borderId="1" xfId="0" applyBorder="1"/>
    <xf numFmtId="0" fontId="7" fillId="0" borderId="7" xfId="0" applyFont="1" applyBorder="1" applyAlignment="1">
      <alignment vertical="center"/>
    </xf>
    <xf numFmtId="0" fontId="7" fillId="0" borderId="8" xfId="0" applyFont="1" applyBorder="1" applyAlignment="1">
      <alignment vertical="center"/>
    </xf>
    <xf numFmtId="0" fontId="7" fillId="4" borderId="2" xfId="0" applyFont="1" applyFill="1" applyBorder="1" applyAlignment="1">
      <alignment vertical="center"/>
    </xf>
    <xf numFmtId="0" fontId="7" fillId="4" borderId="3" xfId="0" applyFont="1" applyFill="1" applyBorder="1" applyAlignment="1">
      <alignment vertical="center"/>
    </xf>
    <xf numFmtId="0" fontId="7" fillId="4" borderId="7" xfId="0" applyFont="1" applyFill="1" applyBorder="1" applyAlignment="1">
      <alignment vertical="center"/>
    </xf>
    <xf numFmtId="0" fontId="7" fillId="4" borderId="8" xfId="0" applyFont="1" applyFill="1" applyBorder="1" applyAlignment="1">
      <alignment vertical="center"/>
    </xf>
    <xf numFmtId="0" fontId="0" fillId="4" borderId="1" xfId="0" applyFill="1" applyBorder="1"/>
    <xf numFmtId="0" fontId="0" fillId="4" borderId="6" xfId="0" applyFill="1" applyBorder="1"/>
    <xf numFmtId="0" fontId="0" fillId="0" borderId="2" xfId="0" applyBorder="1"/>
    <xf numFmtId="0" fontId="0" fillId="0" borderId="8" xfId="0" applyBorder="1"/>
    <xf numFmtId="14" fontId="16" fillId="0" borderId="0" xfId="0" applyNumberFormat="1" applyFont="1" applyAlignment="1">
      <alignment vertical="center" wrapText="1"/>
    </xf>
    <xf numFmtId="14" fontId="16" fillId="6" borderId="0" xfId="0" applyNumberFormat="1" applyFont="1" applyFill="1" applyAlignment="1">
      <alignment vertical="center" wrapText="1"/>
    </xf>
    <xf numFmtId="0" fontId="21" fillId="0" borderId="0" xfId="0" applyFont="1" applyAlignment="1">
      <alignment vertical="center"/>
    </xf>
    <xf numFmtId="0" fontId="0" fillId="0" borderId="0" xfId="0" applyAlignment="1">
      <alignment horizontal="left" vertical="center"/>
    </xf>
    <xf numFmtId="0" fontId="24" fillId="0" borderId="0" xfId="0" applyFont="1"/>
    <xf numFmtId="0" fontId="1" fillId="0" borderId="0" xfId="0" applyFont="1" applyAlignment="1" applyProtection="1">
      <alignment vertical="center"/>
      <protection locked="0"/>
    </xf>
    <xf numFmtId="0" fontId="1" fillId="0" borderId="0" xfId="0" applyFont="1" applyAlignment="1" applyProtection="1">
      <alignment vertical="top" wrapText="1"/>
      <protection locked="0"/>
    </xf>
    <xf numFmtId="0" fontId="8" fillId="0" borderId="0" xfId="0" applyFont="1" applyAlignment="1" applyProtection="1">
      <alignment vertical="center"/>
      <protection locked="0"/>
    </xf>
    <xf numFmtId="0" fontId="8"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28" fillId="2" borderId="6" xfId="0" applyFont="1" applyFill="1" applyBorder="1" applyAlignment="1">
      <alignment horizontal="right" vertical="center"/>
    </xf>
    <xf numFmtId="0" fontId="28" fillId="2" borderId="8" xfId="0" applyFont="1" applyFill="1" applyBorder="1" applyAlignment="1">
      <alignment horizontal="left" vertical="center"/>
    </xf>
    <xf numFmtId="0" fontId="28" fillId="0" borderId="6" xfId="0" applyFont="1" applyBorder="1" applyAlignment="1">
      <alignment horizontal="right" vertical="center"/>
    </xf>
    <xf numFmtId="0" fontId="28" fillId="0" borderId="8" xfId="0" applyFont="1" applyBorder="1" applyAlignment="1">
      <alignment horizontal="left" vertical="center"/>
    </xf>
    <xf numFmtId="0" fontId="29" fillId="2" borderId="7" xfId="2" applyFont="1" applyFill="1" applyBorder="1" applyAlignment="1" applyProtection="1">
      <alignment horizontal="center" vertical="center"/>
      <protection locked="0"/>
    </xf>
    <xf numFmtId="0" fontId="0" fillId="0" borderId="0" xfId="0" applyAlignment="1">
      <alignment wrapText="1"/>
    </xf>
    <xf numFmtId="0" fontId="0" fillId="0" borderId="0" xfId="0" applyAlignment="1" applyProtection="1">
      <alignment horizontal="center" wrapText="1"/>
      <protection locked="0"/>
    </xf>
    <xf numFmtId="0" fontId="0" fillId="0" borderId="0" xfId="0" applyAlignment="1">
      <alignment horizontal="left"/>
    </xf>
    <xf numFmtId="0" fontId="0" fillId="0" borderId="0" xfId="0" applyProtection="1">
      <protection locked="0"/>
    </xf>
    <xf numFmtId="0" fontId="15" fillId="0" borderId="2" xfId="0" applyFont="1" applyBorder="1" applyAlignment="1">
      <alignment vertical="center"/>
    </xf>
    <xf numFmtId="0" fontId="15" fillId="0" borderId="6"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29" xfId="0" applyFont="1" applyBorder="1" applyAlignment="1">
      <alignment vertical="top" wrapText="1"/>
    </xf>
    <xf numFmtId="0" fontId="33" fillId="0" borderId="2" xfId="0" applyFont="1" applyBorder="1" applyAlignment="1">
      <alignment vertical="center" wrapText="1"/>
    </xf>
    <xf numFmtId="0" fontId="0" fillId="0" borderId="0" xfId="0" applyAlignment="1" applyProtection="1">
      <alignment horizontal="left" vertical="center"/>
      <protection locked="0"/>
    </xf>
    <xf numFmtId="0" fontId="34" fillId="0" borderId="1" xfId="0" applyFont="1" applyBorder="1" applyAlignment="1">
      <alignment vertical="center"/>
    </xf>
    <xf numFmtId="0" fontId="34" fillId="0" borderId="2" xfId="0" applyFont="1" applyBorder="1" applyAlignment="1">
      <alignment vertical="center"/>
    </xf>
    <xf numFmtId="0" fontId="34" fillId="0" borderId="3" xfId="0" applyFont="1" applyBorder="1" applyAlignment="1">
      <alignment vertical="center"/>
    </xf>
    <xf numFmtId="0" fontId="31" fillId="0" borderId="0" xfId="0" applyFont="1"/>
    <xf numFmtId="0" fontId="33" fillId="0" borderId="1" xfId="0" applyFont="1" applyBorder="1" applyAlignment="1">
      <alignment vertical="center" wrapText="1"/>
    </xf>
    <xf numFmtId="0" fontId="33" fillId="0" borderId="3" xfId="0" applyFont="1" applyBorder="1" applyAlignment="1">
      <alignment vertical="center" wrapText="1"/>
    </xf>
    <xf numFmtId="0" fontId="34" fillId="0" borderId="4" xfId="0" applyFont="1" applyBorder="1" applyAlignment="1">
      <alignment vertical="center"/>
    </xf>
    <xf numFmtId="0" fontId="34" fillId="0" borderId="0" xfId="0" applyFont="1" applyAlignment="1">
      <alignment vertical="center"/>
    </xf>
    <xf numFmtId="0" fontId="34" fillId="0" borderId="5" xfId="0" applyFont="1" applyBorder="1" applyAlignment="1">
      <alignment vertical="center"/>
    </xf>
    <xf numFmtId="0" fontId="7" fillId="0" borderId="6" xfId="0" applyFont="1" applyBorder="1" applyAlignment="1">
      <alignment vertical="center"/>
    </xf>
    <xf numFmtId="0" fontId="15" fillId="0" borderId="7" xfId="0" applyFont="1" applyBorder="1" applyAlignment="1">
      <alignment horizontal="center" vertical="center"/>
    </xf>
    <xf numFmtId="0" fontId="1" fillId="0" borderId="7" xfId="0" applyFont="1" applyBorder="1" applyAlignment="1">
      <alignment vertical="top" wrapText="1"/>
    </xf>
    <xf numFmtId="0" fontId="1" fillId="0" borderId="17" xfId="0" applyFont="1" applyBorder="1" applyAlignment="1">
      <alignment vertical="top" wrapText="1"/>
    </xf>
    <xf numFmtId="0" fontId="8" fillId="0" borderId="4" xfId="0" applyFont="1" applyBorder="1" applyAlignment="1">
      <alignment vertical="center"/>
    </xf>
    <xf numFmtId="0" fontId="10" fillId="0" borderId="4" xfId="0" applyFont="1" applyBorder="1" applyAlignment="1">
      <alignment vertical="center"/>
    </xf>
    <xf numFmtId="0" fontId="1" fillId="0" borderId="4" xfId="0" applyFont="1" applyBorder="1" applyAlignment="1">
      <alignment vertical="top"/>
    </xf>
    <xf numFmtId="0" fontId="1" fillId="0" borderId="4" xfId="0" applyFont="1" applyBorder="1" applyAlignment="1">
      <alignment vertical="top" wrapText="1"/>
    </xf>
    <xf numFmtId="0" fontId="3" fillId="0" borderId="4" xfId="0" applyFont="1" applyBorder="1" applyAlignment="1">
      <alignment vertical="center"/>
    </xf>
    <xf numFmtId="0" fontId="1" fillId="2" borderId="0" xfId="0" applyFont="1" applyFill="1" applyAlignment="1">
      <alignment vertical="top" wrapText="1"/>
    </xf>
    <xf numFmtId="0" fontId="21" fillId="0" borderId="0" xfId="0" applyFont="1" applyAlignment="1">
      <alignment vertical="center" textRotation="68"/>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0" fillId="0" borderId="0" xfId="0" applyAlignment="1">
      <alignment horizontal="center" vertical="center"/>
    </xf>
    <xf numFmtId="0" fontId="0" fillId="16" borderId="0" xfId="0" applyFill="1" applyAlignment="1">
      <alignment wrapText="1"/>
    </xf>
    <xf numFmtId="0" fontId="52" fillId="8" borderId="0" xfId="0" applyFont="1" applyFill="1" applyAlignment="1">
      <alignment horizontal="center" vertical="center" wrapText="1"/>
    </xf>
    <xf numFmtId="0" fontId="52" fillId="9" borderId="0" xfId="0" applyFont="1" applyFill="1" applyAlignment="1">
      <alignment horizontal="center" vertical="center" wrapText="1"/>
    </xf>
    <xf numFmtId="0" fontId="52" fillId="17" borderId="0" xfId="0" applyFont="1" applyFill="1" applyAlignment="1">
      <alignment horizontal="center" vertical="center" wrapText="1"/>
    </xf>
    <xf numFmtId="0" fontId="52" fillId="4" borderId="0" xfId="0" applyFont="1" applyFill="1" applyAlignment="1">
      <alignment horizontal="center" vertical="center" wrapText="1"/>
    </xf>
    <xf numFmtId="0" fontId="53" fillId="0" borderId="0" xfId="0" applyFont="1" applyAlignment="1">
      <alignment horizontal="center" vertical="center" wrapText="1"/>
    </xf>
    <xf numFmtId="0" fontId="0" fillId="0" borderId="0" xfId="0" applyAlignment="1">
      <alignment vertical="top" wrapText="1"/>
    </xf>
    <xf numFmtId="0" fontId="0" fillId="4" borderId="0" xfId="0" applyFill="1" applyAlignment="1">
      <alignment horizontal="center" vertical="center"/>
    </xf>
    <xf numFmtId="0" fontId="0" fillId="4" borderId="0" xfId="0" applyFill="1" applyAlignment="1">
      <alignment wrapText="1"/>
    </xf>
    <xf numFmtId="0" fontId="0" fillId="15" borderId="0" xfId="0" applyFill="1" applyAlignment="1">
      <alignment wrapText="1"/>
    </xf>
    <xf numFmtId="49" fontId="0" fillId="0" borderId="0" xfId="0" applyNumberFormat="1" applyAlignment="1">
      <alignment horizontal="center" vertical="center"/>
    </xf>
    <xf numFmtId="0" fontId="18" fillId="0" borderId="0" xfId="2"/>
    <xf numFmtId="0" fontId="0" fillId="0" borderId="0" xfId="0" applyAlignment="1">
      <alignment vertical="center"/>
    </xf>
    <xf numFmtId="0" fontId="30" fillId="0" borderId="0" xfId="0" applyFont="1" applyAlignment="1">
      <alignment vertical="center"/>
    </xf>
    <xf numFmtId="0" fontId="0" fillId="0" borderId="31" xfId="0" applyBorder="1"/>
    <xf numFmtId="0" fontId="0" fillId="0" borderId="0" xfId="0" applyAlignment="1">
      <alignment horizontal="right"/>
    </xf>
    <xf numFmtId="0" fontId="54" fillId="0" borderId="0" xfId="0" applyFont="1" applyAlignment="1">
      <alignment horizontal="center" vertical="center"/>
    </xf>
    <xf numFmtId="0" fontId="54" fillId="0" borderId="0" xfId="0" applyFont="1" applyAlignment="1">
      <alignment horizontal="left" vertical="center"/>
    </xf>
    <xf numFmtId="0" fontId="54" fillId="0" borderId="0" xfId="0" applyFont="1"/>
    <xf numFmtId="0" fontId="54" fillId="0" borderId="0" xfId="0" applyFont="1" applyAlignment="1">
      <alignment vertical="center"/>
    </xf>
    <xf numFmtId="0" fontId="43" fillId="0" borderId="2" xfId="0" applyFont="1" applyBorder="1" applyAlignment="1">
      <alignment vertical="center"/>
    </xf>
    <xf numFmtId="0" fontId="43" fillId="0" borderId="3" xfId="0" applyFont="1" applyBorder="1" applyAlignment="1">
      <alignment vertical="center"/>
    </xf>
    <xf numFmtId="0" fontId="43" fillId="0" borderId="4" xfId="0" applyFont="1" applyBorder="1" applyAlignment="1">
      <alignment vertical="center"/>
    </xf>
    <xf numFmtId="0" fontId="43" fillId="0" borderId="0" xfId="0" applyFont="1" applyAlignment="1">
      <alignment vertical="center"/>
    </xf>
    <xf numFmtId="0" fontId="43" fillId="0" borderId="5" xfId="0" applyFont="1" applyBorder="1" applyAlignment="1">
      <alignment vertical="center"/>
    </xf>
    <xf numFmtId="0" fontId="45" fillId="0" borderId="0" xfId="0" applyFont="1" applyAlignment="1">
      <alignment vertical="center"/>
    </xf>
    <xf numFmtId="0" fontId="45" fillId="0" borderId="5" xfId="0" applyFont="1" applyBorder="1" applyAlignment="1">
      <alignment vertical="center"/>
    </xf>
    <xf numFmtId="0" fontId="45" fillId="0" borderId="0" xfId="0" applyFont="1" applyAlignment="1">
      <alignment horizontal="center" vertical="center"/>
    </xf>
    <xf numFmtId="0" fontId="0" fillId="2" borderId="0" xfId="0" applyFill="1"/>
    <xf numFmtId="0" fontId="45" fillId="0" borderId="0" xfId="0" quotePrefix="1" applyFont="1" applyAlignment="1">
      <alignment vertical="center"/>
    </xf>
    <xf numFmtId="0" fontId="45" fillId="0" borderId="5" xfId="0" quotePrefix="1" applyFont="1" applyBorder="1" applyAlignment="1">
      <alignment vertical="center"/>
    </xf>
    <xf numFmtId="0" fontId="45" fillId="0" borderId="0" xfId="0" quotePrefix="1" applyFont="1" applyAlignment="1">
      <alignment horizontal="center" vertical="center"/>
    </xf>
    <xf numFmtId="0" fontId="26" fillId="0" borderId="0" xfId="0" applyFont="1" applyAlignment="1">
      <alignment horizontal="left" vertical="center"/>
    </xf>
    <xf numFmtId="0" fontId="45" fillId="0" borderId="5" xfId="0" applyFont="1" applyBorder="1" applyAlignment="1">
      <alignment horizontal="center" vertical="center"/>
    </xf>
    <xf numFmtId="0" fontId="25" fillId="2" borderId="0" xfId="0" applyFont="1" applyFill="1" applyAlignment="1">
      <alignment vertical="center"/>
    </xf>
    <xf numFmtId="0" fontId="25" fillId="2" borderId="0" xfId="0" applyFont="1" applyFill="1" applyAlignment="1">
      <alignment horizontal="center" vertical="center"/>
    </xf>
    <xf numFmtId="0" fontId="45" fillId="2" borderId="0" xfId="0" applyFont="1" applyFill="1" applyAlignment="1">
      <alignment horizontal="center" vertical="center"/>
    </xf>
    <xf numFmtId="0" fontId="45" fillId="2" borderId="5" xfId="0" applyFont="1" applyFill="1" applyBorder="1" applyAlignment="1">
      <alignment horizontal="center" vertical="center"/>
    </xf>
    <xf numFmtId="0" fontId="32" fillId="0" borderId="0" xfId="0" applyFont="1" applyAlignment="1">
      <alignment horizontal="center" vertical="center"/>
    </xf>
    <xf numFmtId="164" fontId="32" fillId="0" borderId="0" xfId="0" applyNumberFormat="1" applyFont="1" applyAlignment="1">
      <alignment horizontal="center" vertical="center"/>
    </xf>
    <xf numFmtId="164" fontId="51" fillId="0" borderId="0" xfId="0" applyNumberFormat="1" applyFont="1" applyAlignment="1">
      <alignment horizontal="center" vertical="center"/>
    </xf>
    <xf numFmtId="0" fontId="55" fillId="0" borderId="0" xfId="0" applyFont="1" applyAlignment="1">
      <alignment horizontal="center" vertical="center" wrapText="1"/>
    </xf>
    <xf numFmtId="0" fontId="26" fillId="13" borderId="25" xfId="0" applyFont="1" applyFill="1" applyBorder="1" applyAlignment="1">
      <alignment vertical="center"/>
    </xf>
    <xf numFmtId="0" fontId="26" fillId="13" borderId="0" xfId="0" applyFont="1" applyFill="1" applyAlignment="1">
      <alignment vertical="center"/>
    </xf>
    <xf numFmtId="0" fontId="26" fillId="13" borderId="26" xfId="0" applyFont="1" applyFill="1" applyBorder="1" applyAlignment="1">
      <alignment vertical="center"/>
    </xf>
    <xf numFmtId="0" fontId="26" fillId="13" borderId="30" xfId="0" applyFont="1" applyFill="1" applyBorder="1" applyAlignment="1">
      <alignment vertical="center"/>
    </xf>
    <xf numFmtId="0" fontId="26" fillId="13" borderId="31" xfId="0" applyFont="1" applyFill="1" applyBorder="1" applyAlignment="1">
      <alignment vertical="center"/>
    </xf>
    <xf numFmtId="0" fontId="54" fillId="0" borderId="0" xfId="0" applyFont="1" applyAlignment="1">
      <alignment vertical="center" wrapText="1"/>
    </xf>
    <xf numFmtId="0" fontId="26" fillId="0" borderId="0" xfId="0" applyFont="1" applyAlignment="1">
      <alignment vertical="center"/>
    </xf>
    <xf numFmtId="0" fontId="43" fillId="0" borderId="0" xfId="0" applyFont="1" applyAlignment="1">
      <alignment horizontal="center" vertical="center"/>
    </xf>
    <xf numFmtId="0" fontId="58" fillId="0" borderId="0" xfId="0" applyFont="1" applyAlignment="1">
      <alignment horizontal="center" vertical="center" wrapText="1"/>
    </xf>
    <xf numFmtId="0" fontId="58" fillId="0" borderId="33" xfId="3" applyFont="1" applyBorder="1" applyAlignment="1">
      <alignment horizontal="center" vertical="center" wrapText="1"/>
    </xf>
    <xf numFmtId="0" fontId="56" fillId="0" borderId="33" xfId="3" applyFont="1" applyBorder="1" applyAlignment="1">
      <alignment horizontal="center" vertical="center"/>
    </xf>
    <xf numFmtId="0" fontId="3" fillId="0" borderId="74" xfId="0" applyFont="1" applyBorder="1" applyAlignment="1">
      <alignment horizontal="left" vertical="center" wrapText="1"/>
    </xf>
    <xf numFmtId="0" fontId="58" fillId="0" borderId="13" xfId="3" applyFont="1" applyBorder="1" applyAlignment="1">
      <alignment horizontal="center" vertical="center" wrapText="1"/>
    </xf>
    <xf numFmtId="0" fontId="54" fillId="0" borderId="13" xfId="0" applyFont="1" applyBorder="1" applyAlignment="1">
      <alignment horizontal="center" vertical="center"/>
    </xf>
    <xf numFmtId="0" fontId="54" fillId="0" borderId="19" xfId="0" applyFont="1" applyBorder="1" applyAlignment="1">
      <alignment horizontal="left" vertical="center"/>
    </xf>
    <xf numFmtId="0" fontId="3" fillId="0" borderId="74" xfId="0" applyFont="1" applyBorder="1" applyAlignment="1">
      <alignment horizontal="left" vertical="center"/>
    </xf>
    <xf numFmtId="0" fontId="56" fillId="0" borderId="13" xfId="3"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horizontal="left" vertical="center" wrapText="1"/>
    </xf>
    <xf numFmtId="0" fontId="56" fillId="13" borderId="33" xfId="3" applyFont="1" applyFill="1" applyBorder="1" applyAlignment="1">
      <alignment horizontal="center" vertical="center"/>
    </xf>
    <xf numFmtId="0" fontId="56" fillId="13" borderId="10" xfId="3" applyFont="1" applyFill="1" applyBorder="1" applyAlignment="1">
      <alignment horizontal="center" vertical="center"/>
    </xf>
    <xf numFmtId="0" fontId="3" fillId="13" borderId="18" xfId="0" applyFont="1" applyFill="1" applyBorder="1" applyAlignment="1">
      <alignment horizontal="left" vertical="center" wrapText="1"/>
    </xf>
    <xf numFmtId="0" fontId="58" fillId="13" borderId="10" xfId="3" applyFont="1" applyFill="1" applyBorder="1" applyAlignment="1">
      <alignment horizontal="center" vertical="center" wrapText="1"/>
    </xf>
    <xf numFmtId="0" fontId="58" fillId="13" borderId="33" xfId="3" applyFont="1" applyFill="1" applyBorder="1" applyAlignment="1">
      <alignment horizontal="center" vertical="center" wrapText="1"/>
    </xf>
    <xf numFmtId="0" fontId="3" fillId="13" borderId="74" xfId="0" applyFont="1" applyFill="1" applyBorder="1" applyAlignment="1">
      <alignment horizontal="left" vertical="center"/>
    </xf>
    <xf numFmtId="0" fontId="26" fillId="13" borderId="27" xfId="0" applyFont="1" applyFill="1" applyBorder="1" applyAlignment="1">
      <alignment vertical="center"/>
    </xf>
    <xf numFmtId="0" fontId="26" fillId="13" borderId="32" xfId="0" applyFont="1" applyFill="1" applyBorder="1" applyAlignment="1">
      <alignment vertical="center"/>
    </xf>
    <xf numFmtId="0" fontId="1" fillId="0" borderId="31" xfId="0" applyFont="1" applyBorder="1" applyAlignment="1">
      <alignment vertical="center"/>
    </xf>
    <xf numFmtId="0" fontId="62" fillId="0" borderId="26" xfId="0" applyFont="1" applyBorder="1" applyAlignment="1">
      <alignment vertical="center"/>
    </xf>
    <xf numFmtId="0" fontId="62" fillId="0" borderId="0" xfId="0" applyFont="1" applyAlignment="1">
      <alignment vertical="center"/>
    </xf>
    <xf numFmtId="0" fontId="62" fillId="0" borderId="31" xfId="0" applyFont="1" applyBorder="1" applyAlignment="1">
      <alignment vertical="center"/>
    </xf>
    <xf numFmtId="0" fontId="6" fillId="0" borderId="6" xfId="0" applyFont="1" applyBorder="1" applyAlignment="1">
      <alignment vertical="center" wrapText="1"/>
    </xf>
    <xf numFmtId="0" fontId="1" fillId="0" borderId="80" xfId="0" applyFont="1" applyBorder="1"/>
    <xf numFmtId="0" fontId="1" fillId="0" borderId="82" xfId="0" applyFont="1" applyBorder="1" applyAlignment="1">
      <alignment vertical="center"/>
    </xf>
    <xf numFmtId="0" fontId="0" fillId="4" borderId="4" xfId="0" applyFill="1" applyBorder="1"/>
    <xf numFmtId="0" fontId="0" fillId="4" borderId="0" xfId="0" applyFill="1"/>
    <xf numFmtId="0" fontId="0" fillId="4" borderId="5" xfId="0" applyFill="1" applyBorder="1"/>
    <xf numFmtId="0" fontId="0" fillId="4" borderId="7" xfId="0" applyFill="1" applyBorder="1"/>
    <xf numFmtId="0" fontId="0" fillId="4" borderId="8" xfId="0" applyFill="1" applyBorder="1"/>
    <xf numFmtId="0" fontId="1" fillId="4" borderId="1"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4" borderId="4" xfId="0" applyFont="1" applyFill="1" applyBorder="1" applyAlignment="1">
      <alignment vertical="center"/>
    </xf>
    <xf numFmtId="0" fontId="1" fillId="4" borderId="0" xfId="0" applyFont="1" applyFill="1" applyAlignment="1">
      <alignment vertical="center"/>
    </xf>
    <xf numFmtId="0" fontId="1" fillId="4" borderId="5" xfId="0" applyFont="1" applyFill="1" applyBorder="1" applyAlignment="1">
      <alignment vertical="center"/>
    </xf>
    <xf numFmtId="0" fontId="1" fillId="4" borderId="6" xfId="0" applyFont="1" applyFill="1" applyBorder="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8" fillId="0" borderId="31" xfId="2" applyBorder="1" applyAlignment="1" applyProtection="1">
      <alignment horizontal="center" vertical="center"/>
      <protection locked="0"/>
    </xf>
    <xf numFmtId="0" fontId="18" fillId="0" borderId="32" xfId="2" applyBorder="1" applyAlignment="1" applyProtection="1">
      <alignment horizontal="center" vertical="center"/>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6" fillId="0" borderId="81" xfId="0" applyFont="1" applyBorder="1" applyAlignment="1">
      <alignment horizontal="left" vertical="center" wrapText="1"/>
    </xf>
    <xf numFmtId="0" fontId="6" fillId="0" borderId="7" xfId="0" applyFont="1" applyBorder="1" applyAlignment="1">
      <alignment horizontal="left" vertical="center" wrapText="1"/>
    </xf>
    <xf numFmtId="0" fontId="6" fillId="0" borderId="81" xfId="0" applyFont="1" applyBorder="1" applyAlignment="1">
      <alignment horizontal="center" vertical="center" wrapText="1"/>
    </xf>
    <xf numFmtId="0" fontId="6" fillId="0" borderId="7" xfId="0" applyFont="1" applyBorder="1" applyAlignment="1">
      <alignment horizontal="center" vertical="center" wrapText="1"/>
    </xf>
    <xf numFmtId="0" fontId="0" fillId="18" borderId="1" xfId="0" applyFill="1" applyBorder="1" applyAlignment="1">
      <alignment horizontal="left" vertical="center"/>
    </xf>
    <xf numFmtId="0" fontId="0" fillId="18" borderId="2" xfId="0" applyFill="1" applyBorder="1" applyAlignment="1">
      <alignment horizontal="left" vertical="center"/>
    </xf>
    <xf numFmtId="0" fontId="0" fillId="18" borderId="3" xfId="0" applyFill="1" applyBorder="1" applyAlignment="1">
      <alignment horizontal="left" vertical="center"/>
    </xf>
    <xf numFmtId="0" fontId="0" fillId="18" borderId="6" xfId="0" applyFill="1" applyBorder="1" applyAlignment="1">
      <alignment horizontal="left" vertical="center"/>
    </xf>
    <xf numFmtId="0" fontId="0" fillId="18" borderId="7" xfId="0" applyFill="1" applyBorder="1" applyAlignment="1">
      <alignment horizontal="left" vertical="center"/>
    </xf>
    <xf numFmtId="0" fontId="0" fillId="18" borderId="8" xfId="0" applyFill="1" applyBorder="1" applyAlignment="1">
      <alignment horizontal="left" vertical="center"/>
    </xf>
    <xf numFmtId="0" fontId="8" fillId="0" borderId="9" xfId="0" applyFont="1" applyBorder="1" applyAlignment="1">
      <alignment horizont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9" xfId="0" applyFont="1" applyBorder="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0"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8" fillId="0" borderId="0" xfId="0" applyFont="1" applyAlignment="1">
      <alignment horizontal="left" vertical="center"/>
    </xf>
    <xf numFmtId="0" fontId="24" fillId="0" borderId="0" xfId="0" applyFont="1" applyAlignment="1">
      <alignment horizontal="right"/>
    </xf>
    <xf numFmtId="0" fontId="18" fillId="0" borderId="0" xfId="2" applyFill="1" applyBorder="1" applyAlignment="1" applyProtection="1">
      <alignment horizontal="center"/>
      <protection locked="0"/>
    </xf>
    <xf numFmtId="0" fontId="36" fillId="0" borderId="9" xfId="0" applyFont="1" applyBorder="1" applyAlignment="1" applyProtection="1">
      <alignment horizontal="left" vertical="center"/>
      <protection locked="0"/>
    </xf>
    <xf numFmtId="0" fontId="37" fillId="0" borderId="9" xfId="0" applyFont="1" applyBorder="1" applyAlignment="1" applyProtection="1">
      <alignment horizontal="left" vertical="center" wrapText="1"/>
      <protection locked="0"/>
    </xf>
    <xf numFmtId="0" fontId="7" fillId="4" borderId="23" xfId="0" applyFont="1" applyFill="1" applyBorder="1" applyAlignment="1">
      <alignment horizontal="left" vertical="center"/>
    </xf>
    <xf numFmtId="0" fontId="7" fillId="4" borderId="20" xfId="0" applyFont="1" applyFill="1" applyBorder="1" applyAlignment="1">
      <alignment horizontal="left" vertical="center"/>
    </xf>
    <xf numFmtId="0" fontId="7" fillId="4" borderId="24" xfId="0" applyFont="1" applyFill="1" applyBorder="1" applyAlignment="1">
      <alignment horizontal="left" vertical="center"/>
    </xf>
    <xf numFmtId="0" fontId="1" fillId="0" borderId="9" xfId="0" applyFont="1" applyBorder="1" applyAlignment="1">
      <alignment horizontal="left" vertical="center"/>
    </xf>
    <xf numFmtId="0" fontId="1" fillId="0" borderId="9" xfId="0" applyFont="1" applyBorder="1" applyAlignment="1" applyProtection="1">
      <alignment horizontal="center" vertical="center"/>
      <protection locked="0"/>
    </xf>
    <xf numFmtId="0" fontId="8" fillId="0" borderId="9" xfId="0" applyFont="1" applyBorder="1" applyAlignment="1">
      <alignment horizontal="left" vertical="center"/>
    </xf>
    <xf numFmtId="0" fontId="1" fillId="0" borderId="47" xfId="0" applyFont="1" applyBorder="1" applyAlignment="1">
      <alignment horizontal="left" vertical="center"/>
    </xf>
    <xf numFmtId="0" fontId="36" fillId="0" borderId="47" xfId="0" applyFont="1" applyBorder="1" applyAlignment="1" applyProtection="1">
      <alignment horizontal="left" vertical="center"/>
      <protection locked="0"/>
    </xf>
    <xf numFmtId="0" fontId="1" fillId="0" borderId="12"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36" fillId="0" borderId="12" xfId="0" applyFont="1" applyBorder="1" applyAlignment="1" applyProtection="1">
      <alignment horizontal="left" vertical="center"/>
      <protection locked="0"/>
    </xf>
    <xf numFmtId="0" fontId="36" fillId="0" borderId="10" xfId="0" applyFont="1" applyBorder="1" applyAlignment="1" applyProtection="1">
      <alignment horizontal="left" vertical="center"/>
      <protection locked="0"/>
    </xf>
    <xf numFmtId="0" fontId="36" fillId="0" borderId="11" xfId="0" applyFont="1" applyBorder="1" applyAlignment="1" applyProtection="1">
      <alignment horizontal="left" vertical="center"/>
      <protection locked="0"/>
    </xf>
    <xf numFmtId="0" fontId="36" fillId="0" borderId="25" xfId="0" applyFont="1" applyBorder="1" applyAlignment="1" applyProtection="1">
      <alignment horizontal="left" vertical="center"/>
      <protection locked="0"/>
    </xf>
    <xf numFmtId="0" fontId="36" fillId="0" borderId="26" xfId="0" applyFont="1" applyBorder="1" applyAlignment="1" applyProtection="1">
      <alignment horizontal="left" vertical="center"/>
      <protection locked="0"/>
    </xf>
    <xf numFmtId="0" fontId="36" fillId="0" borderId="27" xfId="0" applyFont="1" applyBorder="1" applyAlignment="1" applyProtection="1">
      <alignment horizontal="left" vertical="center"/>
      <protection locked="0"/>
    </xf>
    <xf numFmtId="0" fontId="1" fillId="0" borderId="26"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0" borderId="16" xfId="0" applyFont="1" applyBorder="1" applyAlignment="1">
      <alignment horizontal="left"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1" fillId="0" borderId="11"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8" fillId="0" borderId="9" xfId="0" applyFont="1" applyBorder="1" applyAlignment="1">
      <alignment horizontal="left" vertical="center" wrapTex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0" xfId="0" applyFont="1" applyFill="1" applyAlignment="1">
      <alignment horizontal="center" vertical="center"/>
    </xf>
    <xf numFmtId="0" fontId="1" fillId="0" borderId="21"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horizontal="left" vertical="center"/>
      <protection locked="0"/>
    </xf>
    <xf numFmtId="0" fontId="7" fillId="0" borderId="26" xfId="0" applyFont="1" applyBorder="1" applyAlignment="1">
      <alignment horizontal="left" vertical="center" wrapText="1"/>
    </xf>
    <xf numFmtId="0" fontId="7" fillId="0" borderId="7" xfId="0" applyFont="1" applyBorder="1" applyAlignment="1">
      <alignment horizontal="left" vertical="center" wrapText="1"/>
    </xf>
    <xf numFmtId="0" fontId="1" fillId="0" borderId="33" xfId="0" applyFont="1" applyBorder="1" applyAlignment="1">
      <alignment horizontal="center" vertical="center"/>
    </xf>
    <xf numFmtId="0" fontId="1" fillId="0" borderId="12" xfId="0" applyFont="1" applyBorder="1" applyAlignment="1">
      <alignment horizontal="left" vertical="center" wrapText="1"/>
    </xf>
    <xf numFmtId="14" fontId="1" fillId="0" borderId="10" xfId="0" applyNumberFormat="1" applyFont="1" applyBorder="1" applyAlignment="1" applyProtection="1">
      <alignment horizontal="center" vertical="center"/>
      <protection locked="0"/>
    </xf>
    <xf numFmtId="14" fontId="1" fillId="0" borderId="18" xfId="0" applyNumberFormat="1"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5" xfId="0" applyFont="1" applyFill="1" applyBorder="1" applyAlignment="1">
      <alignment horizontal="center" vertical="center" wrapText="1"/>
    </xf>
    <xf numFmtId="0" fontId="1" fillId="0" borderId="0" xfId="0" applyFont="1" applyAlignment="1">
      <alignment horizontal="left" vertical="center"/>
    </xf>
    <xf numFmtId="0" fontId="0" fillId="5" borderId="25" xfId="0" applyFill="1" applyBorder="1" applyAlignment="1">
      <alignment horizontal="center" vertical="center" wrapText="1"/>
    </xf>
    <xf numFmtId="0" fontId="0" fillId="5" borderId="27" xfId="0" applyFill="1" applyBorder="1" applyAlignment="1">
      <alignment horizontal="center" vertical="center" wrapText="1"/>
    </xf>
    <xf numFmtId="0" fontId="0" fillId="5" borderId="30" xfId="0" applyFill="1" applyBorder="1" applyAlignment="1">
      <alignment horizontal="center" vertical="center" wrapText="1"/>
    </xf>
    <xf numFmtId="0" fontId="0" fillId="5" borderId="32" xfId="0" applyFill="1" applyBorder="1" applyAlignment="1">
      <alignment horizontal="center"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10" fillId="0" borderId="0" xfId="0" applyFont="1" applyAlignment="1">
      <alignment horizontal="left" vertical="center"/>
    </xf>
    <xf numFmtId="0" fontId="10" fillId="0" borderId="29" xfId="0" applyFont="1" applyBorder="1" applyAlignment="1">
      <alignment horizontal="left" vertical="center"/>
    </xf>
    <xf numFmtId="0" fontId="1" fillId="3" borderId="0" xfId="0" applyFont="1" applyFill="1" applyAlignment="1" applyProtection="1">
      <alignment horizontal="center" vertical="top"/>
      <protection locked="0"/>
    </xf>
    <xf numFmtId="0" fontId="36" fillId="0" borderId="28"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29" xfId="0" applyFont="1" applyBorder="1" applyAlignment="1" applyProtection="1">
      <alignment horizontal="left" vertical="top" wrapText="1"/>
      <protection locked="0"/>
    </xf>
    <xf numFmtId="0" fontId="36" fillId="0" borderId="30" xfId="0" applyFont="1" applyBorder="1" applyAlignment="1" applyProtection="1">
      <alignment horizontal="left" vertical="top" wrapText="1"/>
      <protection locked="0"/>
    </xf>
    <xf numFmtId="0" fontId="36" fillId="0" borderId="31" xfId="0" applyFont="1" applyBorder="1" applyAlignment="1" applyProtection="1">
      <alignment horizontal="left" vertical="top" wrapText="1"/>
      <protection locked="0"/>
    </xf>
    <xf numFmtId="0" fontId="36" fillId="0" borderId="32" xfId="0" applyFont="1" applyBorder="1" applyAlignment="1" applyProtection="1">
      <alignment horizontal="left" vertical="top" wrapText="1"/>
      <protection locked="0"/>
    </xf>
    <xf numFmtId="0" fontId="61" fillId="0" borderId="26" xfId="0" applyFont="1" applyBorder="1" applyAlignment="1">
      <alignment horizontal="left" vertical="center"/>
    </xf>
    <xf numFmtId="0" fontId="61" fillId="0" borderId="0" xfId="0" applyFont="1" applyAlignment="1">
      <alignment horizontal="left" vertical="center"/>
    </xf>
    <xf numFmtId="0" fontId="61" fillId="0" borderId="31" xfId="0" applyFont="1" applyBorder="1" applyAlignment="1">
      <alignment horizontal="left" vertical="center"/>
    </xf>
    <xf numFmtId="0" fontId="1" fillId="0" borderId="0" xfId="0" applyFont="1" applyAlignment="1">
      <alignment horizontal="righ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3" fillId="0" borderId="0" xfId="0" applyFont="1" applyAlignment="1">
      <alignment horizontal="left" vertical="center"/>
    </xf>
    <xf numFmtId="0" fontId="37" fillId="0" borderId="25" xfId="0" applyFont="1" applyBorder="1" applyAlignment="1" applyProtection="1">
      <alignment horizontal="left" vertical="top" wrapText="1"/>
      <protection locked="0"/>
    </xf>
    <xf numFmtId="0" fontId="37" fillId="0" borderId="26" xfId="0" applyFont="1" applyBorder="1" applyAlignment="1" applyProtection="1">
      <alignment horizontal="left" vertical="top" wrapText="1"/>
      <protection locked="0"/>
    </xf>
    <xf numFmtId="0" fontId="37" fillId="0" borderId="27" xfId="0" applyFont="1" applyBorder="1" applyAlignment="1" applyProtection="1">
      <alignment horizontal="left" vertical="top" wrapText="1"/>
      <protection locked="0"/>
    </xf>
    <xf numFmtId="0" fontId="37" fillId="0" borderId="28"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29" xfId="0" applyFont="1" applyBorder="1" applyAlignment="1" applyProtection="1">
      <alignment horizontal="left" vertical="top" wrapText="1"/>
      <protection locked="0"/>
    </xf>
    <xf numFmtId="0" fontId="37" fillId="0" borderId="30" xfId="0" applyFont="1" applyBorder="1" applyAlignment="1" applyProtection="1">
      <alignment horizontal="left" vertical="top" wrapText="1"/>
      <protection locked="0"/>
    </xf>
    <xf numFmtId="0" fontId="37" fillId="0" borderId="31" xfId="0" applyFont="1" applyBorder="1" applyAlignment="1" applyProtection="1">
      <alignment horizontal="left" vertical="top" wrapText="1"/>
      <protection locked="0"/>
    </xf>
    <xf numFmtId="0" fontId="37" fillId="0" borderId="32" xfId="0" applyFont="1" applyBorder="1" applyAlignment="1" applyProtection="1">
      <alignment horizontal="left" vertical="top" wrapText="1"/>
      <protection locked="0"/>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18" fillId="4" borderId="7" xfId="2" quotePrefix="1" applyFill="1" applyBorder="1" applyAlignment="1" applyProtection="1">
      <alignment horizontal="center" vertical="center"/>
      <protection locked="0"/>
    </xf>
    <xf numFmtId="0" fontId="18" fillId="4" borderId="7" xfId="2" applyFill="1" applyBorder="1" applyAlignment="1" applyProtection="1">
      <alignment horizontal="center" vertical="center"/>
      <protection locked="0"/>
    </xf>
    <xf numFmtId="0" fontId="8" fillId="0" borderId="12" xfId="0" applyFont="1" applyBorder="1" applyAlignment="1">
      <alignment horizontal="left"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19" xfId="0" applyFont="1" applyBorder="1" applyAlignment="1">
      <alignment horizontal="center" vertical="center"/>
    </xf>
    <xf numFmtId="0" fontId="36" fillId="0" borderId="12" xfId="0" applyFont="1" applyBorder="1" applyAlignment="1" applyProtection="1">
      <alignment horizontal="left" vertical="top" wrapText="1"/>
      <protection locked="0"/>
    </xf>
    <xf numFmtId="0" fontId="36" fillId="0" borderId="10" xfId="0" applyFont="1" applyBorder="1" applyAlignment="1" applyProtection="1">
      <alignment horizontal="left" vertical="top" wrapText="1"/>
      <protection locked="0"/>
    </xf>
    <xf numFmtId="0" fontId="36" fillId="0" borderId="11" xfId="0" applyFont="1" applyBorder="1" applyAlignment="1" applyProtection="1">
      <alignment horizontal="left" vertical="top" wrapText="1"/>
      <protection locked="0"/>
    </xf>
    <xf numFmtId="14" fontId="1" fillId="0" borderId="10" xfId="0" applyNumberFormat="1" applyFont="1" applyBorder="1" applyAlignment="1">
      <alignment horizontal="center" vertical="center"/>
    </xf>
    <xf numFmtId="14" fontId="1" fillId="0" borderId="18" xfId="0" applyNumberFormat="1" applyFont="1" applyBorder="1" applyAlignment="1">
      <alignment horizontal="center"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30" fillId="0" borderId="9" xfId="0" applyFont="1" applyBorder="1" applyAlignment="1">
      <alignment horizontal="center" vertical="center"/>
    </xf>
    <xf numFmtId="14" fontId="37" fillId="0" borderId="9" xfId="0" applyNumberFormat="1" applyFont="1" applyBorder="1" applyAlignment="1" applyProtection="1">
      <alignment horizontal="center" vertical="center" wrapText="1"/>
      <protection locked="0"/>
    </xf>
    <xf numFmtId="0" fontId="30" fillId="0" borderId="9" xfId="0" applyFont="1" applyBorder="1" applyAlignment="1" applyProtection="1">
      <alignment horizontal="center" vertical="center"/>
      <protection locked="0"/>
    </xf>
    <xf numFmtId="0" fontId="37" fillId="0" borderId="9" xfId="0" applyFont="1" applyBorder="1" applyAlignment="1" applyProtection="1">
      <alignment horizontal="center" vertical="center" wrapText="1"/>
      <protection locked="0"/>
    </xf>
    <xf numFmtId="0" fontId="37" fillId="0" borderId="9" xfId="0" applyFont="1" applyBorder="1" applyAlignment="1" applyProtection="1">
      <alignment horizontal="center" vertical="center"/>
      <protection locked="0"/>
    </xf>
    <xf numFmtId="0" fontId="36" fillId="0" borderId="25" xfId="0" applyFont="1" applyBorder="1" applyAlignment="1" applyProtection="1">
      <alignment horizontal="center" vertical="top" wrapText="1"/>
      <protection locked="0"/>
    </xf>
    <xf numFmtId="0" fontId="36" fillId="0" borderId="26" xfId="0" applyFont="1" applyBorder="1" applyAlignment="1" applyProtection="1">
      <alignment horizontal="center" vertical="top" wrapText="1"/>
      <protection locked="0"/>
    </xf>
    <xf numFmtId="0" fontId="36" fillId="0" borderId="27" xfId="0" applyFont="1" applyBorder="1" applyAlignment="1" applyProtection="1">
      <alignment horizontal="center" vertical="top" wrapText="1"/>
      <protection locked="0"/>
    </xf>
    <xf numFmtId="0" fontId="36" fillId="0" borderId="30" xfId="0" applyFont="1" applyBorder="1" applyAlignment="1" applyProtection="1">
      <alignment horizontal="center" vertical="top" wrapText="1"/>
      <protection locked="0"/>
    </xf>
    <xf numFmtId="0" fontId="36" fillId="0" borderId="31" xfId="0" applyFont="1" applyBorder="1" applyAlignment="1" applyProtection="1">
      <alignment horizontal="center" vertical="top" wrapText="1"/>
      <protection locked="0"/>
    </xf>
    <xf numFmtId="0" fontId="36" fillId="0" borderId="32" xfId="0" applyFont="1" applyBorder="1" applyAlignment="1" applyProtection="1">
      <alignment horizontal="center" vertical="top" wrapText="1"/>
      <protection locked="0"/>
    </xf>
    <xf numFmtId="0" fontId="1" fillId="0" borderId="31" xfId="0" applyFont="1" applyBorder="1" applyAlignment="1">
      <alignment horizontal="left" vertical="center"/>
    </xf>
    <xf numFmtId="0" fontId="16" fillId="0" borderId="0" xfId="0" applyFont="1" applyAlignment="1">
      <alignment horizontal="center" vertical="center" wrapText="1"/>
    </xf>
    <xf numFmtId="0" fontId="8" fillId="0" borderId="0" xfId="0" applyFont="1" applyAlignment="1">
      <alignment horizontal="left" vertical="center" wrapText="1"/>
    </xf>
    <xf numFmtId="0" fontId="3" fillId="0" borderId="0" xfId="0" applyFont="1" applyAlignment="1">
      <alignment horizontal="center" vertical="center"/>
    </xf>
    <xf numFmtId="0" fontId="36" fillId="0" borderId="25" xfId="0" applyFont="1" applyBorder="1" applyAlignment="1" applyProtection="1">
      <alignment horizontal="left" vertical="top" wrapText="1"/>
      <protection locked="0"/>
    </xf>
    <xf numFmtId="0" fontId="36" fillId="0" borderId="26" xfId="0"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37" fillId="0" borderId="25" xfId="0" applyFont="1" applyBorder="1" applyAlignment="1" applyProtection="1">
      <alignment horizontal="left" vertical="center" wrapText="1"/>
      <protection locked="0"/>
    </xf>
    <xf numFmtId="0" fontId="37" fillId="0" borderId="26" xfId="0" applyFont="1" applyBorder="1" applyAlignment="1" applyProtection="1">
      <alignment horizontal="left" vertical="center" wrapText="1"/>
      <protection locked="0"/>
    </xf>
    <xf numFmtId="0" fontId="37" fillId="0" borderId="27" xfId="0" applyFont="1" applyBorder="1" applyAlignment="1" applyProtection="1">
      <alignment horizontal="left" vertical="center" wrapText="1"/>
      <protection locked="0"/>
    </xf>
    <xf numFmtId="0" fontId="37" fillId="0" borderId="30" xfId="0" applyFont="1" applyBorder="1" applyAlignment="1" applyProtection="1">
      <alignment horizontal="left" vertical="center" wrapText="1"/>
      <protection locked="0"/>
    </xf>
    <xf numFmtId="0" fontId="37" fillId="0" borderId="31" xfId="0" applyFont="1" applyBorder="1" applyAlignment="1" applyProtection="1">
      <alignment horizontal="left" vertical="center" wrapText="1"/>
      <protection locked="0"/>
    </xf>
    <xf numFmtId="0" fontId="37" fillId="0" borderId="32" xfId="0" applyFont="1" applyBorder="1" applyAlignment="1" applyProtection="1">
      <alignment horizontal="left" vertical="center" wrapText="1"/>
      <protection locked="0"/>
    </xf>
    <xf numFmtId="0" fontId="37" fillId="0" borderId="25" xfId="0" applyFont="1" applyBorder="1" applyAlignment="1" applyProtection="1">
      <alignment horizontal="center" vertical="center" wrapText="1"/>
      <protection locked="0"/>
    </xf>
    <xf numFmtId="0" fontId="37" fillId="0" borderId="26" xfId="0" applyFont="1" applyBorder="1" applyAlignment="1" applyProtection="1">
      <alignment horizontal="center" vertical="center" wrapText="1"/>
      <protection locked="0"/>
    </xf>
    <xf numFmtId="0" fontId="37" fillId="0" borderId="27" xfId="0" applyFont="1" applyBorder="1" applyAlignment="1" applyProtection="1">
      <alignment horizontal="center" vertical="center" wrapText="1"/>
      <protection locked="0"/>
    </xf>
    <xf numFmtId="0" fontId="37" fillId="0" borderId="30" xfId="0" applyFont="1" applyBorder="1" applyAlignment="1" applyProtection="1">
      <alignment horizontal="center" vertical="center" wrapText="1"/>
      <protection locked="0"/>
    </xf>
    <xf numFmtId="0" fontId="37" fillId="0" borderId="31" xfId="0" applyFont="1" applyBorder="1" applyAlignment="1" applyProtection="1">
      <alignment horizontal="center" vertical="center" wrapText="1"/>
      <protection locked="0"/>
    </xf>
    <xf numFmtId="0" fontId="37" fillId="0" borderId="32"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protection locked="0"/>
    </xf>
    <xf numFmtId="0" fontId="37" fillId="0" borderId="26" xfId="0" applyFont="1" applyBorder="1" applyAlignment="1" applyProtection="1">
      <alignment horizontal="center" vertical="center"/>
      <protection locked="0"/>
    </xf>
    <xf numFmtId="0" fontId="37" fillId="0" borderId="27" xfId="0" applyFont="1" applyBorder="1" applyAlignment="1" applyProtection="1">
      <alignment horizontal="center" vertical="center"/>
      <protection locked="0"/>
    </xf>
    <xf numFmtId="0" fontId="37" fillId="0" borderId="30" xfId="0" applyFont="1" applyBorder="1" applyAlignment="1" applyProtection="1">
      <alignment horizontal="center" vertical="center"/>
      <protection locked="0"/>
    </xf>
    <xf numFmtId="0" fontId="37" fillId="0" borderId="31" xfId="0" applyFont="1" applyBorder="1" applyAlignment="1" applyProtection="1">
      <alignment horizontal="center" vertical="center"/>
      <protection locked="0"/>
    </xf>
    <xf numFmtId="0" fontId="37" fillId="0" borderId="32" xfId="0" applyFont="1" applyBorder="1" applyAlignment="1" applyProtection="1">
      <alignment horizontal="center" vertical="center"/>
      <protection locked="0"/>
    </xf>
    <xf numFmtId="0" fontId="18" fillId="0" borderId="0" xfId="2" applyFill="1" applyBorder="1" applyAlignment="1" applyProtection="1">
      <alignment horizontal="center" vertical="center"/>
      <protection locked="0"/>
    </xf>
    <xf numFmtId="14" fontId="15" fillId="0" borderId="25" xfId="0" applyNumberFormat="1" applyFont="1" applyBorder="1" applyAlignment="1" applyProtection="1">
      <alignment horizontal="left" wrapText="1"/>
      <protection locked="0"/>
    </xf>
    <xf numFmtId="0" fontId="15" fillId="0" borderId="26" xfId="0" applyFont="1" applyBorder="1" applyAlignment="1" applyProtection="1">
      <alignment horizontal="left" wrapText="1"/>
      <protection locked="0"/>
    </xf>
    <xf numFmtId="0" fontId="15" fillId="0" borderId="27" xfId="0" applyFont="1" applyBorder="1" applyAlignment="1" applyProtection="1">
      <alignment horizontal="left" wrapText="1"/>
      <protection locked="0"/>
    </xf>
    <xf numFmtId="0" fontId="15" fillId="0" borderId="28" xfId="0" applyFont="1" applyBorder="1" applyAlignment="1" applyProtection="1">
      <alignment horizontal="left" wrapText="1"/>
      <protection locked="0"/>
    </xf>
    <xf numFmtId="0" fontId="15" fillId="0" borderId="0" xfId="0" applyFont="1" applyAlignment="1" applyProtection="1">
      <alignment horizontal="left" wrapText="1"/>
      <protection locked="0"/>
    </xf>
    <xf numFmtId="0" fontId="15" fillId="0" borderId="29" xfId="0" applyFont="1" applyBorder="1" applyAlignment="1" applyProtection="1">
      <alignment horizontal="left" wrapText="1"/>
      <protection locked="0"/>
    </xf>
    <xf numFmtId="0" fontId="15" fillId="0" borderId="30" xfId="0" applyFont="1" applyBorder="1" applyAlignment="1" applyProtection="1">
      <alignment horizontal="left" wrapText="1"/>
      <protection locked="0"/>
    </xf>
    <xf numFmtId="0" fontId="15" fillId="0" borderId="31" xfId="0" applyFont="1" applyBorder="1" applyAlignment="1" applyProtection="1">
      <alignment horizontal="left" wrapText="1"/>
      <protection locked="0"/>
    </xf>
    <xf numFmtId="0" fontId="15" fillId="0" borderId="32" xfId="0" applyFont="1" applyBorder="1" applyAlignment="1" applyProtection="1">
      <alignment horizontal="left" wrapText="1"/>
      <protection locked="0"/>
    </xf>
    <xf numFmtId="14" fontId="37" fillId="0" borderId="9" xfId="0" applyNumberFormat="1"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0" fontId="36" fillId="0" borderId="26" xfId="0" applyFont="1" applyBorder="1" applyAlignment="1" applyProtection="1">
      <alignment horizontal="center" vertical="center"/>
      <protection locked="0"/>
    </xf>
    <xf numFmtId="0" fontId="36" fillId="0" borderId="27" xfId="0" applyFont="1" applyBorder="1" applyAlignment="1" applyProtection="1">
      <alignment horizontal="center" vertical="center"/>
      <protection locked="0"/>
    </xf>
    <xf numFmtId="0" fontId="36" fillId="0" borderId="30" xfId="0" applyFont="1" applyBorder="1" applyAlignment="1" applyProtection="1">
      <alignment horizontal="center" vertical="center"/>
      <protection locked="0"/>
    </xf>
    <xf numFmtId="0" fontId="36" fillId="0" borderId="31" xfId="0" applyFont="1" applyBorder="1" applyAlignment="1" applyProtection="1">
      <alignment horizontal="center" vertical="center"/>
      <protection locked="0"/>
    </xf>
    <xf numFmtId="0" fontId="36" fillId="0" borderId="32" xfId="0" applyFont="1" applyBorder="1" applyAlignment="1" applyProtection="1">
      <alignment horizontal="center" vertical="center"/>
      <protection locked="0"/>
    </xf>
    <xf numFmtId="0" fontId="1" fillId="0" borderId="5" xfId="0" applyFont="1" applyBorder="1" applyAlignment="1">
      <alignment horizontal="left" vertical="center"/>
    </xf>
    <xf numFmtId="1" fontId="5" fillId="0" borderId="25" xfId="0" applyNumberFormat="1" applyFont="1" applyBorder="1" applyAlignment="1" applyProtection="1">
      <alignment horizontal="center" vertical="center"/>
      <protection locked="0"/>
    </xf>
    <xf numFmtId="1" fontId="5" fillId="0" borderId="26" xfId="0" applyNumberFormat="1" applyFont="1" applyBorder="1" applyAlignment="1" applyProtection="1">
      <alignment horizontal="center" vertical="center"/>
      <protection locked="0"/>
    </xf>
    <xf numFmtId="1" fontId="5" fillId="0" borderId="27" xfId="0" applyNumberFormat="1" applyFont="1" applyBorder="1" applyAlignment="1" applyProtection="1">
      <alignment horizontal="center" vertical="center"/>
      <protection locked="0"/>
    </xf>
    <xf numFmtId="1" fontId="5" fillId="0" borderId="30" xfId="0" applyNumberFormat="1" applyFont="1" applyBorder="1" applyAlignment="1" applyProtection="1">
      <alignment horizontal="center" vertical="center"/>
      <protection locked="0"/>
    </xf>
    <xf numFmtId="1" fontId="5" fillId="0" borderId="31" xfId="0" applyNumberFormat="1" applyFont="1" applyBorder="1" applyAlignment="1" applyProtection="1">
      <alignment horizontal="center" vertical="center"/>
      <protection locked="0"/>
    </xf>
    <xf numFmtId="1" fontId="5" fillId="0" borderId="32" xfId="0" applyNumberFormat="1" applyFont="1" applyBorder="1" applyAlignment="1" applyProtection="1">
      <alignment horizontal="center" vertical="center"/>
      <protection locked="0"/>
    </xf>
    <xf numFmtId="14" fontId="1" fillId="0" borderId="12" xfId="0" applyNumberFormat="1" applyFont="1" applyBorder="1" applyAlignment="1">
      <alignment horizontal="center" vertical="center"/>
    </xf>
    <xf numFmtId="0" fontId="7" fillId="4" borderId="20" xfId="0" applyFont="1" applyFill="1" applyBorder="1" applyAlignment="1">
      <alignment horizontal="center" vertical="center"/>
    </xf>
    <xf numFmtId="0" fontId="7" fillId="4" borderId="24" xfId="0" applyFont="1" applyFill="1" applyBorder="1" applyAlignment="1">
      <alignment horizontal="center" vertical="center"/>
    </xf>
    <xf numFmtId="0" fontId="8" fillId="4" borderId="23" xfId="0" applyFont="1" applyFill="1" applyBorder="1" applyAlignment="1">
      <alignment horizontal="right" vertical="center"/>
    </xf>
    <xf numFmtId="0" fontId="8" fillId="4" borderId="20" xfId="0" applyFont="1" applyFill="1" applyBorder="1" applyAlignment="1">
      <alignment horizontal="right" vertical="center"/>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 fillId="0" borderId="16" xfId="0" applyFont="1" applyBorder="1" applyAlignment="1">
      <alignment horizontal="left" vertical="center"/>
    </xf>
    <xf numFmtId="0" fontId="1" fillId="0" borderId="7" xfId="0" applyFont="1" applyBorder="1" applyAlignment="1">
      <alignment horizontal="left" vertical="center"/>
    </xf>
    <xf numFmtId="0" fontId="1" fillId="0" borderId="17" xfId="0" applyFont="1" applyBorder="1" applyAlignment="1">
      <alignment horizontal="left" vertical="center"/>
    </xf>
    <xf numFmtId="0" fontId="8" fillId="0" borderId="33" xfId="0" applyFont="1" applyBorder="1" applyAlignment="1" applyProtection="1">
      <alignment horizontal="center" vertical="center" wrapText="1"/>
      <protection locked="0"/>
    </xf>
    <xf numFmtId="0" fontId="33" fillId="0" borderId="33" xfId="0" applyFont="1" applyBorder="1" applyAlignment="1" applyProtection="1">
      <alignment horizontal="center" vertical="center" wrapText="1"/>
      <protection locked="0"/>
    </xf>
    <xf numFmtId="0" fontId="33" fillId="0" borderId="33" xfId="0" applyFont="1" applyBorder="1" applyAlignment="1">
      <alignment horizontal="center" vertical="center" wrapText="1"/>
    </xf>
    <xf numFmtId="0" fontId="7" fillId="4" borderId="20" xfId="0" applyFont="1" applyFill="1" applyBorder="1" applyAlignment="1" applyProtection="1">
      <alignment horizontal="center" vertical="center"/>
      <protection locked="0"/>
    </xf>
    <xf numFmtId="0" fontId="38" fillId="0" borderId="25" xfId="0" applyFont="1" applyBorder="1" applyAlignment="1" applyProtection="1">
      <alignment horizontal="center" vertic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0" fontId="38" fillId="0" borderId="2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29" xfId="0" applyFont="1" applyBorder="1" applyAlignment="1" applyProtection="1">
      <alignment horizontal="center" vertical="center" wrapText="1"/>
      <protection locked="0"/>
    </xf>
    <xf numFmtId="0" fontId="38" fillId="0" borderId="30" xfId="0" applyFont="1" applyBorder="1" applyAlignment="1" applyProtection="1">
      <alignment horizontal="center" vertical="center" wrapText="1"/>
      <protection locked="0"/>
    </xf>
    <xf numFmtId="0" fontId="38" fillId="0" borderId="31" xfId="0" applyFont="1" applyBorder="1" applyAlignment="1" applyProtection="1">
      <alignment horizontal="center" vertical="center" wrapText="1"/>
      <protection locked="0"/>
    </xf>
    <xf numFmtId="0" fontId="38" fillId="0" borderId="32" xfId="0" applyFont="1" applyBorder="1" applyAlignment="1" applyProtection="1">
      <alignment horizontal="center" vertical="center" wrapText="1"/>
      <protection locked="0"/>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29" xfId="0" applyFont="1" applyBorder="1" applyAlignment="1" applyProtection="1">
      <alignment horizontal="center" vertical="center"/>
      <protection locked="0"/>
    </xf>
    <xf numFmtId="0" fontId="38" fillId="0" borderId="25" xfId="0" applyFont="1" applyBorder="1" applyAlignment="1" applyProtection="1">
      <alignment horizontal="center" vertical="center"/>
      <protection locked="0"/>
    </xf>
    <xf numFmtId="0" fontId="38" fillId="0" borderId="26"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0" fontId="38" fillId="0" borderId="28"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8" fillId="0" borderId="30"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38" fillId="0" borderId="32" xfId="0" applyFont="1" applyBorder="1" applyAlignment="1" applyProtection="1">
      <alignment horizontal="center" vertical="center"/>
      <protection locked="0"/>
    </xf>
    <xf numFmtId="0" fontId="39" fillId="3" borderId="0" xfId="0" applyFont="1" applyFill="1" applyAlignment="1" applyProtection="1">
      <alignment horizontal="center"/>
      <protection locked="0"/>
    </xf>
    <xf numFmtId="0" fontId="5" fillId="4" borderId="83" xfId="0" applyFont="1" applyFill="1" applyBorder="1" applyAlignment="1">
      <alignment horizontal="center" vertical="center"/>
    </xf>
    <xf numFmtId="0" fontId="5" fillId="4" borderId="31" xfId="0" applyFont="1" applyFill="1" applyBorder="1" applyAlignment="1">
      <alignment horizontal="center" vertical="center"/>
    </xf>
    <xf numFmtId="0" fontId="1" fillId="0" borderId="2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63" fillId="0" borderId="89" xfId="0" applyFont="1" applyBorder="1" applyAlignment="1">
      <alignment horizontal="left" vertical="center" wrapText="1"/>
    </xf>
    <xf numFmtId="0" fontId="63" fillId="0" borderId="90" xfId="0" applyFont="1" applyBorder="1" applyAlignment="1">
      <alignment horizontal="left" vertical="center" wrapText="1"/>
    </xf>
    <xf numFmtId="0" fontId="63" fillId="0" borderId="84" xfId="0" applyFont="1" applyBorder="1" applyAlignment="1">
      <alignment horizontal="left" vertical="center" wrapText="1"/>
    </xf>
    <xf numFmtId="0" fontId="63" fillId="0" borderId="85" xfId="0" applyFont="1" applyBorder="1" applyAlignment="1">
      <alignment horizontal="left" vertical="center" wrapText="1"/>
    </xf>
    <xf numFmtId="0" fontId="63" fillId="0" borderId="91" xfId="0" applyFont="1" applyBorder="1" applyAlignment="1">
      <alignment horizontal="left" vertical="center" wrapText="1"/>
    </xf>
    <xf numFmtId="0" fontId="63" fillId="0" borderId="87" xfId="0" applyFont="1" applyBorder="1" applyAlignment="1">
      <alignment horizontal="left" vertical="center" wrapText="1"/>
    </xf>
    <xf numFmtId="0" fontId="63" fillId="0" borderId="92" xfId="0" applyFont="1" applyBorder="1" applyAlignment="1">
      <alignment horizontal="left" vertical="center" wrapText="1"/>
    </xf>
    <xf numFmtId="0" fontId="63" fillId="0" borderId="86" xfId="0" applyFont="1" applyBorder="1" applyAlignment="1">
      <alignment horizontal="left" vertical="center" wrapText="1"/>
    </xf>
    <xf numFmtId="0" fontId="63" fillId="0" borderId="88" xfId="0" applyFont="1" applyBorder="1" applyAlignment="1">
      <alignment horizontal="left" vertical="center" wrapText="1"/>
    </xf>
    <xf numFmtId="0" fontId="1" fillId="0" borderId="19" xfId="0" applyFont="1" applyBorder="1" applyAlignment="1">
      <alignment horizontal="left" vertical="center"/>
    </xf>
    <xf numFmtId="0" fontId="7" fillId="4" borderId="23" xfId="0" applyFont="1" applyFill="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0" fillId="4" borderId="3" xfId="0" applyFill="1" applyBorder="1" applyAlignment="1">
      <alignment horizontal="center"/>
    </xf>
    <xf numFmtId="0" fontId="0" fillId="4" borderId="5" xfId="0" applyFill="1" applyBorder="1" applyAlignment="1">
      <alignment horizontal="center"/>
    </xf>
    <xf numFmtId="0" fontId="0" fillId="4" borderId="8" xfId="0" applyFill="1" applyBorder="1" applyAlignment="1">
      <alignment horizontal="center"/>
    </xf>
    <xf numFmtId="0" fontId="0" fillId="4" borderId="1" xfId="0" applyFill="1" applyBorder="1" applyAlignment="1">
      <alignment horizontal="center"/>
    </xf>
    <xf numFmtId="0" fontId="0" fillId="4" borderId="4" xfId="0" applyFill="1" applyBorder="1" applyAlignment="1">
      <alignment horizontal="center"/>
    </xf>
    <xf numFmtId="0" fontId="0" fillId="4" borderId="6" xfId="0" applyFill="1" applyBorder="1" applyAlignment="1">
      <alignment horizontal="center"/>
    </xf>
    <xf numFmtId="0" fontId="0" fillId="4" borderId="2" xfId="0" applyFill="1" applyBorder="1" applyAlignment="1">
      <alignment horizontal="center"/>
    </xf>
    <xf numFmtId="0" fontId="0" fillId="4" borderId="0" xfId="0" applyFill="1" applyAlignment="1">
      <alignment horizontal="center"/>
    </xf>
    <xf numFmtId="0" fontId="0" fillId="4" borderId="7" xfId="0" applyFill="1" applyBorder="1" applyAlignment="1">
      <alignment horizontal="center"/>
    </xf>
    <xf numFmtId="0" fontId="21" fillId="0" borderId="0" xfId="0" applyFont="1" applyAlignment="1">
      <alignment horizontal="center" vertical="center"/>
    </xf>
    <xf numFmtId="0" fontId="21" fillId="0" borderId="7"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21" fillId="0" borderId="4" xfId="0" applyFont="1" applyBorder="1" applyAlignment="1">
      <alignment horizontal="center" vertical="center"/>
    </xf>
    <xf numFmtId="0" fontId="0" fillId="0" borderId="0" xfId="0" applyAlignment="1">
      <alignment horizontal="left" vertical="center"/>
    </xf>
    <xf numFmtId="0" fontId="0" fillId="0" borderId="5" xfId="0" applyBorder="1" applyAlignment="1">
      <alignment horizontal="left" vertical="center"/>
    </xf>
    <xf numFmtId="0" fontId="20" fillId="0" borderId="0" xfId="0" applyFont="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42" xfId="0" applyFont="1" applyBorder="1" applyAlignment="1">
      <alignment horizontal="center" vertical="center"/>
    </xf>
    <xf numFmtId="0" fontId="19" fillId="0" borderId="34" xfId="0" applyFont="1" applyBorder="1" applyAlignment="1">
      <alignment horizontal="center" vertical="center"/>
    </xf>
    <xf numFmtId="0" fontId="19" fillId="0" borderId="43" xfId="0" applyFont="1" applyBorder="1" applyAlignment="1">
      <alignment horizontal="center" vertical="center"/>
    </xf>
    <xf numFmtId="0" fontId="1" fillId="0" borderId="35" xfId="0" applyFont="1" applyBorder="1" applyAlignment="1" applyProtection="1">
      <alignment horizontal="center" wrapText="1"/>
      <protection locked="0"/>
    </xf>
    <xf numFmtId="0" fontId="1" fillId="0" borderId="45" xfId="0" applyFont="1" applyBorder="1" applyAlignment="1" applyProtection="1">
      <alignment horizontal="center" wrapText="1"/>
      <protection locked="0"/>
    </xf>
    <xf numFmtId="0" fontId="1" fillId="0" borderId="36" xfId="0" applyFont="1" applyBorder="1" applyAlignment="1" applyProtection="1">
      <alignment horizontal="center" wrapText="1"/>
      <protection locked="0"/>
    </xf>
    <xf numFmtId="0" fontId="1" fillId="0" borderId="44" xfId="0" applyFont="1" applyBorder="1" applyAlignment="1" applyProtection="1">
      <alignment horizontal="center" wrapText="1"/>
      <protection locked="0"/>
    </xf>
    <xf numFmtId="0" fontId="1" fillId="0" borderId="38" xfId="0" applyFont="1" applyBorder="1" applyAlignment="1" applyProtection="1">
      <alignment horizontal="center" wrapText="1"/>
      <protection locked="0"/>
    </xf>
    <xf numFmtId="0" fontId="1" fillId="0" borderId="39" xfId="0" applyFont="1" applyBorder="1" applyAlignment="1" applyProtection="1">
      <alignment horizontal="center" wrapText="1"/>
      <protection locked="0"/>
    </xf>
    <xf numFmtId="0" fontId="22" fillId="0" borderId="0" xfId="0" applyFont="1" applyAlignment="1">
      <alignment horizontal="center" vertical="center"/>
    </xf>
    <xf numFmtId="0" fontId="22" fillId="0" borderId="34" xfId="0" applyFont="1" applyBorder="1" applyAlignment="1">
      <alignment horizontal="center" vertical="center"/>
    </xf>
    <xf numFmtId="0" fontId="20" fillId="0" borderId="4" xfId="0" applyFont="1" applyBorder="1" applyAlignment="1">
      <alignment horizontal="center" vertical="center"/>
    </xf>
    <xf numFmtId="0" fontId="16" fillId="0" borderId="37" xfId="0" applyFont="1" applyBorder="1" applyAlignment="1" applyProtection="1">
      <alignment horizontal="center" vertical="center" wrapText="1"/>
      <protection locked="0"/>
    </xf>
    <xf numFmtId="0" fontId="16" fillId="0" borderId="38" xfId="0" applyFont="1" applyBorder="1" applyAlignment="1" applyProtection="1">
      <alignment horizontal="center" vertical="center" wrapText="1"/>
      <protection locked="0"/>
    </xf>
    <xf numFmtId="0" fontId="16" fillId="0" borderId="39"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41" xfId="0" applyFont="1" applyBorder="1" applyAlignment="1" applyProtection="1">
      <alignment horizontal="center" vertical="center" wrapText="1"/>
      <protection locked="0"/>
    </xf>
    <xf numFmtId="0" fontId="16" fillId="0" borderId="42"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43" xfId="0" applyFont="1" applyBorder="1" applyAlignment="1" applyProtection="1">
      <alignment horizontal="center" vertical="center" wrapText="1"/>
      <protection locked="0"/>
    </xf>
    <xf numFmtId="0" fontId="1" fillId="0" borderId="0" xfId="0" applyFont="1" applyAlignment="1" applyProtection="1">
      <alignment horizontal="center" wrapText="1"/>
      <protection locked="0"/>
    </xf>
    <xf numFmtId="0" fontId="1" fillId="0" borderId="41" xfId="0" applyFont="1" applyBorder="1" applyAlignment="1" applyProtection="1">
      <alignment horizontal="center" wrapText="1"/>
      <protection locked="0"/>
    </xf>
    <xf numFmtId="0" fontId="7" fillId="4" borderId="2" xfId="0" applyFont="1" applyFill="1" applyBorder="1" applyAlignment="1">
      <alignment horizontal="center" vertical="center"/>
    </xf>
    <xf numFmtId="0" fontId="7" fillId="4" borderId="7" xfId="0" applyFont="1" applyFill="1" applyBorder="1" applyAlignment="1">
      <alignment horizontal="center" vertical="center"/>
    </xf>
    <xf numFmtId="0" fontId="7" fillId="7" borderId="26" xfId="0" applyFont="1" applyFill="1" applyBorder="1" applyAlignment="1" applyProtection="1">
      <alignment horizontal="center" vertical="center" wrapText="1"/>
      <protection locked="0"/>
    </xf>
    <xf numFmtId="0" fontId="7" fillId="7" borderId="27"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7" borderId="29" xfId="0" applyFont="1" applyFill="1" applyBorder="1" applyAlignment="1" applyProtection="1">
      <alignment horizontal="center" vertical="center" wrapText="1"/>
      <protection locked="0"/>
    </xf>
    <xf numFmtId="0" fontId="23" fillId="6" borderId="25" xfId="0" applyFont="1" applyFill="1" applyBorder="1" applyAlignment="1">
      <alignment horizontal="center" vertical="center"/>
    </xf>
    <xf numFmtId="0" fontId="23" fillId="6" borderId="26" xfId="0" applyFont="1" applyFill="1" applyBorder="1" applyAlignment="1">
      <alignment horizontal="center" vertical="center"/>
    </xf>
    <xf numFmtId="0" fontId="23" fillId="6" borderId="28" xfId="0" applyFont="1" applyFill="1" applyBorder="1" applyAlignment="1">
      <alignment horizontal="center" vertical="center"/>
    </xf>
    <xf numFmtId="0" fontId="23" fillId="6" borderId="0" xfId="0" applyFont="1" applyFill="1" applyAlignment="1">
      <alignment horizontal="center" vertical="center"/>
    </xf>
    <xf numFmtId="0" fontId="1" fillId="0" borderId="0" xfId="0" applyFont="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32" xfId="0" applyFont="1" applyBorder="1" applyAlignment="1" applyProtection="1">
      <alignment horizontal="left" vertical="top" wrapText="1"/>
      <protection locked="0"/>
    </xf>
    <xf numFmtId="0" fontId="15" fillId="4" borderId="23" xfId="0" applyFont="1" applyFill="1" applyBorder="1" applyAlignment="1">
      <alignment horizontal="left" vertical="center"/>
    </xf>
    <xf numFmtId="0" fontId="15" fillId="4" borderId="20" xfId="0" applyFont="1" applyFill="1" applyBorder="1" applyAlignment="1">
      <alignment horizontal="left" vertical="center"/>
    </xf>
    <xf numFmtId="0" fontId="15" fillId="4" borderId="24" xfId="0" applyFont="1" applyFill="1" applyBorder="1" applyAlignment="1">
      <alignment horizontal="left" vertical="center"/>
    </xf>
    <xf numFmtId="0" fontId="1" fillId="0" borderId="28"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164" fontId="3" fillId="3" borderId="66" xfId="0" applyNumberFormat="1" applyFont="1" applyFill="1" applyBorder="1" applyAlignment="1">
      <alignment horizontal="center" vertical="center"/>
    </xf>
    <xf numFmtId="164" fontId="3" fillId="3" borderId="67" xfId="0" applyNumberFormat="1" applyFont="1" applyFill="1" applyBorder="1" applyAlignment="1">
      <alignment horizontal="center" vertical="center"/>
    </xf>
    <xf numFmtId="164" fontId="3" fillId="3" borderId="68" xfId="0" applyNumberFormat="1" applyFont="1" applyFill="1" applyBorder="1" applyAlignment="1">
      <alignment horizontal="center" vertical="center"/>
    </xf>
    <xf numFmtId="0" fontId="44" fillId="2" borderId="25" xfId="3" applyFont="1" applyFill="1" applyBorder="1" applyAlignment="1">
      <alignment horizontal="center" vertical="center"/>
    </xf>
    <xf numFmtId="0" fontId="44" fillId="2" borderId="26" xfId="3" applyFont="1" applyFill="1" applyBorder="1" applyAlignment="1">
      <alignment horizontal="center" vertical="center"/>
    </xf>
    <xf numFmtId="0" fontId="44" fillId="2" borderId="27" xfId="3" applyFont="1" applyFill="1" applyBorder="1" applyAlignment="1">
      <alignment horizontal="center" vertical="center"/>
    </xf>
    <xf numFmtId="0" fontId="3" fillId="14" borderId="48" xfId="0" applyFont="1" applyFill="1" applyBorder="1" applyAlignment="1">
      <alignment horizontal="left" vertical="center" wrapText="1"/>
    </xf>
    <xf numFmtId="0" fontId="3" fillId="14" borderId="49" xfId="0" applyFont="1" applyFill="1" applyBorder="1" applyAlignment="1">
      <alignment horizontal="left" vertical="center" wrapText="1"/>
    </xf>
    <xf numFmtId="0" fontId="3" fillId="14" borderId="50" xfId="0" applyFont="1" applyFill="1" applyBorder="1" applyAlignment="1">
      <alignment horizontal="left" vertical="center" wrapText="1"/>
    </xf>
    <xf numFmtId="164" fontId="3" fillId="3" borderId="51"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0" fontId="0" fillId="0" borderId="12"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44" fillId="2" borderId="30" xfId="3" applyFont="1" applyFill="1" applyBorder="1" applyAlignment="1">
      <alignment horizontal="center" vertical="center"/>
    </xf>
    <xf numFmtId="0" fontId="44" fillId="2" borderId="31" xfId="3" applyFont="1" applyFill="1" applyBorder="1" applyAlignment="1">
      <alignment horizontal="center" vertical="center"/>
    </xf>
    <xf numFmtId="0" fontId="44" fillId="2" borderId="32" xfId="3" applyFont="1" applyFill="1" applyBorder="1" applyAlignment="1">
      <alignment horizontal="center" vertical="center"/>
    </xf>
    <xf numFmtId="0" fontId="3" fillId="14" borderId="60" xfId="0" applyFont="1" applyFill="1" applyBorder="1" applyAlignment="1">
      <alignment horizontal="left" vertical="center" wrapText="1"/>
    </xf>
    <xf numFmtId="0" fontId="3" fillId="14" borderId="61" xfId="0" applyFont="1" applyFill="1" applyBorder="1" applyAlignment="1">
      <alignment horizontal="left" vertical="center" wrapText="1"/>
    </xf>
    <xf numFmtId="0" fontId="3" fillId="14" borderId="62" xfId="0" applyFont="1" applyFill="1" applyBorder="1" applyAlignment="1">
      <alignment horizontal="left" vertical="center" wrapText="1"/>
    </xf>
    <xf numFmtId="164" fontId="3" fillId="3" borderId="30" xfId="0" applyNumberFormat="1" applyFont="1" applyFill="1" applyBorder="1" applyAlignment="1">
      <alignment horizontal="center" vertical="center"/>
    </xf>
    <xf numFmtId="164" fontId="3" fillId="3" borderId="31" xfId="0" applyNumberFormat="1" applyFont="1" applyFill="1" applyBorder="1" applyAlignment="1">
      <alignment horizontal="center" vertical="center"/>
    </xf>
    <xf numFmtId="164" fontId="3" fillId="3" borderId="32" xfId="0" applyNumberFormat="1" applyFont="1" applyFill="1" applyBorder="1" applyAlignment="1">
      <alignment horizontal="center" vertical="center"/>
    </xf>
    <xf numFmtId="164" fontId="47" fillId="0" borderId="1" xfId="0" applyNumberFormat="1" applyFont="1" applyBorder="1" applyAlignment="1">
      <alignment horizontal="right" vertical="center"/>
    </xf>
    <xf numFmtId="164" fontId="47" fillId="0" borderId="2" xfId="0" applyNumberFormat="1" applyFont="1" applyBorder="1" applyAlignment="1">
      <alignment horizontal="right" vertical="center"/>
    </xf>
    <xf numFmtId="164" fontId="47" fillId="0" borderId="6" xfId="0" applyNumberFormat="1" applyFont="1" applyBorder="1" applyAlignment="1">
      <alignment horizontal="right" vertical="center"/>
    </xf>
    <xf numFmtId="164" fontId="47" fillId="0" borderId="7" xfId="0" applyNumberFormat="1" applyFont="1" applyBorder="1" applyAlignment="1">
      <alignment horizontal="right" vertical="center"/>
    </xf>
    <xf numFmtId="0" fontId="47" fillId="0" borderId="3" xfId="0" applyFont="1" applyBorder="1" applyAlignment="1">
      <alignment horizontal="left" vertical="center"/>
    </xf>
    <xf numFmtId="0" fontId="47" fillId="0" borderId="8" xfId="0" applyFont="1" applyBorder="1" applyAlignment="1">
      <alignment horizontal="left" vertical="center"/>
    </xf>
    <xf numFmtId="0" fontId="3" fillId="14" borderId="72" xfId="0" applyFont="1" applyFill="1" applyBorder="1" applyAlignment="1">
      <alignment horizontal="left" vertical="center" wrapText="1"/>
    </xf>
    <xf numFmtId="0" fontId="3" fillId="14" borderId="46" xfId="0" applyFont="1" applyFill="1" applyBorder="1" applyAlignment="1">
      <alignment horizontal="left" vertical="center" wrapText="1"/>
    </xf>
    <xf numFmtId="0" fontId="3" fillId="14" borderId="73" xfId="0" applyFont="1" applyFill="1" applyBorder="1" applyAlignment="1">
      <alignment horizontal="left" vertical="center" wrapText="1"/>
    </xf>
    <xf numFmtId="164" fontId="1" fillId="3" borderId="30" xfId="0" applyNumberFormat="1" applyFont="1" applyFill="1" applyBorder="1" applyAlignment="1" applyProtection="1">
      <alignment horizontal="center" vertical="center"/>
      <protection locked="0"/>
    </xf>
    <xf numFmtId="164" fontId="1" fillId="3" borderId="31" xfId="0" applyNumberFormat="1" applyFont="1" applyFill="1" applyBorder="1" applyAlignment="1" applyProtection="1">
      <alignment horizontal="center" vertical="center"/>
      <protection locked="0"/>
    </xf>
    <xf numFmtId="164" fontId="1" fillId="3" borderId="32" xfId="0" applyNumberFormat="1" applyFont="1" applyFill="1" applyBorder="1" applyAlignment="1" applyProtection="1">
      <alignment horizontal="center" vertical="center"/>
      <protection locked="0"/>
    </xf>
    <xf numFmtId="0" fontId="44" fillId="0" borderId="25" xfId="3" applyFont="1" applyBorder="1" applyAlignment="1">
      <alignment horizontal="center" vertical="center"/>
    </xf>
    <xf numFmtId="0" fontId="44" fillId="0" borderId="26" xfId="3" applyFont="1" applyBorder="1" applyAlignment="1">
      <alignment horizontal="center" vertical="center"/>
    </xf>
    <xf numFmtId="0" fontId="44" fillId="0" borderId="27" xfId="3" applyFont="1" applyBorder="1" applyAlignment="1">
      <alignment horizontal="center" vertical="center"/>
    </xf>
    <xf numFmtId="164" fontId="1" fillId="3" borderId="51" xfId="0" applyNumberFormat="1" applyFont="1" applyFill="1" applyBorder="1" applyAlignment="1" applyProtection="1">
      <alignment horizontal="center" vertical="center"/>
      <protection locked="0"/>
    </xf>
    <xf numFmtId="164" fontId="1" fillId="3" borderId="52" xfId="0" applyNumberFormat="1" applyFont="1" applyFill="1" applyBorder="1" applyAlignment="1" applyProtection="1">
      <alignment horizontal="center" vertical="center"/>
      <protection locked="0"/>
    </xf>
    <xf numFmtId="164" fontId="1" fillId="3" borderId="53" xfId="0" applyNumberFormat="1" applyFont="1" applyFill="1" applyBorder="1" applyAlignment="1" applyProtection="1">
      <alignment horizontal="center" vertical="center"/>
      <protection locked="0"/>
    </xf>
    <xf numFmtId="164" fontId="1" fillId="3" borderId="57" xfId="0" applyNumberFormat="1" applyFont="1" applyFill="1" applyBorder="1" applyAlignment="1" applyProtection="1">
      <alignment horizontal="center" vertical="center"/>
      <protection locked="0"/>
    </xf>
    <xf numFmtId="164" fontId="1" fillId="3" borderId="58" xfId="0" applyNumberFormat="1" applyFont="1" applyFill="1" applyBorder="1" applyAlignment="1" applyProtection="1">
      <alignment horizontal="center" vertical="center"/>
      <protection locked="0"/>
    </xf>
    <xf numFmtId="164" fontId="1" fillId="3" borderId="59" xfId="0" applyNumberFormat="1" applyFont="1" applyFill="1" applyBorder="1" applyAlignment="1" applyProtection="1">
      <alignment horizontal="center" vertical="center"/>
      <protection locked="0"/>
    </xf>
    <xf numFmtId="164" fontId="1" fillId="3" borderId="25" xfId="0" applyNumberFormat="1" applyFont="1" applyFill="1" applyBorder="1" applyAlignment="1" applyProtection="1">
      <alignment horizontal="center" vertical="center"/>
      <protection locked="0"/>
    </xf>
    <xf numFmtId="164" fontId="1" fillId="3" borderId="26" xfId="0" applyNumberFormat="1" applyFont="1" applyFill="1" applyBorder="1" applyAlignment="1" applyProtection="1">
      <alignment horizontal="center" vertical="center"/>
      <protection locked="0"/>
    </xf>
    <xf numFmtId="164" fontId="1" fillId="3" borderId="27" xfId="0" applyNumberFormat="1" applyFont="1" applyFill="1" applyBorder="1" applyAlignment="1" applyProtection="1">
      <alignment horizontal="center" vertical="center"/>
      <protection locked="0"/>
    </xf>
    <xf numFmtId="0" fontId="0" fillId="0" borderId="0" xfId="0"/>
    <xf numFmtId="0" fontId="32" fillId="0" borderId="0" xfId="0" applyFont="1" applyAlignment="1">
      <alignment horizontal="center" vertical="center"/>
    </xf>
    <xf numFmtId="164" fontId="32" fillId="0" borderId="0" xfId="0" applyNumberFormat="1" applyFont="1" applyAlignment="1">
      <alignment horizontal="center" vertical="center"/>
    </xf>
    <xf numFmtId="164" fontId="51" fillId="0" borderId="0" xfId="0" applyNumberFormat="1" applyFont="1" applyAlignment="1">
      <alignment horizontal="center" vertical="center"/>
    </xf>
    <xf numFmtId="0" fontId="48" fillId="10" borderId="10" xfId="4" applyFont="1" applyBorder="1" applyAlignment="1" applyProtection="1">
      <alignment horizontal="center" vertical="center"/>
    </xf>
    <xf numFmtId="0" fontId="49" fillId="12" borderId="10" xfId="6" applyFont="1" applyBorder="1" applyAlignment="1" applyProtection="1">
      <alignment horizontal="center" vertical="center"/>
    </xf>
    <xf numFmtId="0" fontId="50" fillId="11" borderId="10" xfId="5" applyFont="1" applyBorder="1" applyAlignment="1" applyProtection="1">
      <alignment horizontal="center" vertical="center"/>
    </xf>
    <xf numFmtId="0" fontId="50" fillId="11" borderId="11" xfId="5" applyFont="1" applyBorder="1" applyAlignment="1" applyProtection="1">
      <alignment horizontal="center" vertical="center"/>
    </xf>
    <xf numFmtId="0" fontId="44" fillId="2" borderId="28" xfId="3" applyFont="1" applyFill="1" applyBorder="1" applyAlignment="1">
      <alignment horizontal="center" vertical="center"/>
    </xf>
    <xf numFmtId="0" fontId="44" fillId="2" borderId="0" xfId="3" applyFont="1" applyFill="1" applyAlignment="1">
      <alignment horizontal="center" vertical="center"/>
    </xf>
    <xf numFmtId="0" fontId="44" fillId="2" borderId="29" xfId="3" applyFont="1" applyFill="1" applyBorder="1" applyAlignment="1">
      <alignment horizontal="center" vertical="center"/>
    </xf>
    <xf numFmtId="0" fontId="46" fillId="2" borderId="1"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8" xfId="0" applyFont="1" applyFill="1" applyBorder="1" applyAlignment="1">
      <alignment horizontal="center" vertical="center"/>
    </xf>
    <xf numFmtId="164" fontId="3" fillId="3" borderId="51" xfId="0" applyNumberFormat="1" applyFont="1" applyFill="1" applyBorder="1" applyAlignment="1" applyProtection="1">
      <alignment horizontal="center" vertical="center"/>
      <protection locked="0"/>
    </xf>
    <xf numFmtId="164" fontId="3" fillId="3" borderId="52" xfId="0" applyNumberFormat="1" applyFont="1" applyFill="1" applyBorder="1" applyAlignment="1" applyProtection="1">
      <alignment horizontal="center" vertical="center"/>
      <protection locked="0"/>
    </xf>
    <xf numFmtId="164" fontId="3" fillId="3" borderId="53" xfId="0" applyNumberFormat="1" applyFont="1" applyFill="1" applyBorder="1" applyAlignment="1" applyProtection="1">
      <alignment horizontal="center" vertical="center"/>
      <protection locked="0"/>
    </xf>
    <xf numFmtId="0" fontId="3" fillId="14" borderId="54" xfId="0" applyFont="1" applyFill="1" applyBorder="1" applyAlignment="1">
      <alignment horizontal="left" vertical="center" wrapText="1"/>
    </xf>
    <xf numFmtId="0" fontId="3" fillId="14" borderId="55" xfId="0" applyFont="1" applyFill="1" applyBorder="1" applyAlignment="1">
      <alignment horizontal="left" vertical="center" wrapText="1"/>
    </xf>
    <xf numFmtId="0" fontId="3" fillId="14" borderId="56" xfId="0" applyFont="1" applyFill="1" applyBorder="1" applyAlignment="1">
      <alignment horizontal="left" vertical="center" wrapText="1"/>
    </xf>
    <xf numFmtId="164" fontId="3" fillId="3" borderId="63" xfId="0" applyNumberFormat="1" applyFont="1" applyFill="1" applyBorder="1" applyAlignment="1" applyProtection="1">
      <alignment horizontal="center" vertical="center"/>
      <protection locked="0"/>
    </xf>
    <xf numFmtId="164" fontId="3" fillId="3" borderId="64" xfId="0" applyNumberFormat="1" applyFont="1" applyFill="1" applyBorder="1" applyAlignment="1" applyProtection="1">
      <alignment horizontal="center" vertical="center"/>
      <protection locked="0"/>
    </xf>
    <xf numFmtId="164" fontId="3" fillId="3" borderId="65" xfId="0" applyNumberFormat="1" applyFont="1" applyFill="1" applyBorder="1" applyAlignment="1" applyProtection="1">
      <alignment horizontal="center" vertical="center"/>
      <protection locked="0"/>
    </xf>
    <xf numFmtId="164" fontId="1" fillId="3" borderId="69" xfId="0" applyNumberFormat="1" applyFont="1" applyFill="1" applyBorder="1" applyAlignment="1" applyProtection="1">
      <alignment horizontal="center" vertical="center"/>
      <protection locked="0"/>
    </xf>
    <xf numFmtId="164" fontId="1" fillId="3" borderId="70" xfId="0" applyNumberFormat="1" applyFont="1" applyFill="1" applyBorder="1" applyAlignment="1" applyProtection="1">
      <alignment horizontal="center" vertical="center"/>
      <protection locked="0"/>
    </xf>
    <xf numFmtId="164" fontId="1" fillId="3" borderId="71" xfId="0" applyNumberFormat="1" applyFont="1" applyFill="1" applyBorder="1" applyAlignment="1" applyProtection="1">
      <alignment horizontal="center" vertical="center"/>
      <protection locked="0"/>
    </xf>
    <xf numFmtId="0" fontId="3" fillId="14" borderId="12" xfId="0" applyFont="1" applyFill="1" applyBorder="1" applyAlignment="1">
      <alignment horizontal="left" vertical="center" wrapText="1"/>
    </xf>
    <xf numFmtId="0" fontId="3" fillId="14" borderId="10" xfId="0" applyFont="1" applyFill="1" applyBorder="1" applyAlignment="1">
      <alignment horizontal="left" vertical="center" wrapText="1"/>
    </xf>
    <xf numFmtId="0" fontId="3" fillId="14" borderId="11" xfId="0" applyFont="1" applyFill="1" applyBorder="1" applyAlignment="1">
      <alignment horizontal="left" vertical="center" wrapText="1"/>
    </xf>
    <xf numFmtId="164" fontId="3" fillId="3" borderId="25" xfId="0" applyNumberFormat="1" applyFont="1" applyFill="1" applyBorder="1" applyAlignment="1">
      <alignment horizontal="center" vertical="center"/>
    </xf>
    <xf numFmtId="164" fontId="3" fillId="3" borderId="26" xfId="0" applyNumberFormat="1" applyFont="1" applyFill="1" applyBorder="1" applyAlignment="1">
      <alignment horizontal="center" vertical="center"/>
    </xf>
    <xf numFmtId="164" fontId="3" fillId="3" borderId="27" xfId="0" applyNumberFormat="1" applyFont="1" applyFill="1" applyBorder="1" applyAlignment="1">
      <alignment horizontal="center" vertical="center"/>
    </xf>
    <xf numFmtId="164" fontId="1" fillId="3" borderId="51" xfId="0" applyNumberFormat="1" applyFont="1" applyFill="1" applyBorder="1" applyAlignment="1">
      <alignment horizontal="center" vertical="center"/>
    </xf>
    <xf numFmtId="164" fontId="1" fillId="3" borderId="52" xfId="0" applyNumberFormat="1" applyFont="1" applyFill="1" applyBorder="1" applyAlignment="1">
      <alignment horizontal="center" vertical="center"/>
    </xf>
    <xf numFmtId="164" fontId="1" fillId="3" borderId="53" xfId="0" applyNumberFormat="1" applyFont="1" applyFill="1" applyBorder="1" applyAlignment="1">
      <alignment horizontal="center" vertical="center"/>
    </xf>
    <xf numFmtId="0" fontId="57" fillId="13" borderId="26" xfId="0" applyFont="1" applyFill="1" applyBorder="1" applyAlignment="1">
      <alignment horizontal="center" vertical="center"/>
    </xf>
    <xf numFmtId="0" fontId="57" fillId="13" borderId="27" xfId="0" applyFont="1" applyFill="1" applyBorder="1" applyAlignment="1">
      <alignment horizontal="center" vertical="center"/>
    </xf>
    <xf numFmtId="0" fontId="57" fillId="13" borderId="31" xfId="0" applyFont="1" applyFill="1" applyBorder="1" applyAlignment="1">
      <alignment horizontal="center" vertical="center"/>
    </xf>
    <xf numFmtId="0" fontId="57" fillId="13" borderId="32" xfId="0" applyFont="1" applyFill="1" applyBorder="1" applyAlignment="1">
      <alignment horizontal="center" vertical="center"/>
    </xf>
    <xf numFmtId="0" fontId="57" fillId="13" borderId="25" xfId="0" applyFont="1" applyFill="1" applyBorder="1" applyAlignment="1">
      <alignment horizontal="center" vertical="center"/>
    </xf>
    <xf numFmtId="0" fontId="57" fillId="13" borderId="30" xfId="0" applyFont="1" applyFill="1" applyBorder="1" applyAlignment="1">
      <alignment horizontal="center" vertical="center"/>
    </xf>
    <xf numFmtId="0" fontId="26" fillId="13" borderId="26" xfId="0" applyFont="1" applyFill="1" applyBorder="1" applyAlignment="1">
      <alignment horizontal="left" vertical="center"/>
    </xf>
    <xf numFmtId="0" fontId="26" fillId="13" borderId="31" xfId="0" applyFont="1" applyFill="1" applyBorder="1" applyAlignment="1">
      <alignment horizontal="left" vertical="center"/>
    </xf>
    <xf numFmtId="0" fontId="32" fillId="0" borderId="0" xfId="0" applyFont="1" applyAlignment="1">
      <alignment horizontal="right" vertical="center"/>
    </xf>
    <xf numFmtId="0" fontId="32" fillId="0" borderId="29" xfId="0" applyFont="1" applyBorder="1" applyAlignment="1">
      <alignment horizontal="right" vertical="center"/>
    </xf>
    <xf numFmtId="164" fontId="1" fillId="3" borderId="57" xfId="0" applyNumberFormat="1" applyFont="1" applyFill="1" applyBorder="1" applyAlignment="1">
      <alignment horizontal="center" vertical="center"/>
    </xf>
    <xf numFmtId="164" fontId="1" fillId="3" borderId="58" xfId="0" applyNumberFormat="1" applyFont="1" applyFill="1" applyBorder="1" applyAlignment="1">
      <alignment horizontal="center" vertical="center"/>
    </xf>
    <xf numFmtId="164" fontId="1" fillId="3" borderId="59" xfId="0" applyNumberFormat="1" applyFont="1" applyFill="1" applyBorder="1" applyAlignment="1">
      <alignment horizontal="center" vertical="center"/>
    </xf>
    <xf numFmtId="164" fontId="1" fillId="3" borderId="69" xfId="0" applyNumberFormat="1" applyFont="1" applyFill="1" applyBorder="1" applyAlignment="1">
      <alignment horizontal="center" vertical="center"/>
    </xf>
    <xf numFmtId="164" fontId="1" fillId="3" borderId="70" xfId="0" applyNumberFormat="1" applyFont="1" applyFill="1" applyBorder="1" applyAlignment="1">
      <alignment horizontal="center" vertical="center"/>
    </xf>
    <xf numFmtId="164" fontId="1" fillId="3" borderId="71" xfId="0" applyNumberFormat="1" applyFont="1" applyFill="1" applyBorder="1" applyAlignment="1">
      <alignment horizontal="center" vertical="center"/>
    </xf>
    <xf numFmtId="164" fontId="1" fillId="3" borderId="25" xfId="0" applyNumberFormat="1" applyFont="1" applyFill="1" applyBorder="1" applyAlignment="1">
      <alignment horizontal="center" vertical="center"/>
    </xf>
    <xf numFmtId="164" fontId="1" fillId="3" borderId="26" xfId="0" applyNumberFormat="1" applyFont="1" applyFill="1" applyBorder="1" applyAlignment="1">
      <alignment horizontal="center" vertical="center"/>
    </xf>
    <xf numFmtId="164" fontId="1" fillId="3" borderId="27" xfId="0" applyNumberFormat="1" applyFont="1" applyFill="1" applyBorder="1" applyAlignment="1">
      <alignment horizontal="center" vertical="center"/>
    </xf>
    <xf numFmtId="164" fontId="3" fillId="3" borderId="57" xfId="0" applyNumberFormat="1" applyFont="1" applyFill="1" applyBorder="1" applyAlignment="1">
      <alignment horizontal="center" vertical="center"/>
    </xf>
    <xf numFmtId="164" fontId="3" fillId="3" borderId="58" xfId="0" applyNumberFormat="1" applyFont="1" applyFill="1" applyBorder="1" applyAlignment="1">
      <alignment horizontal="center" vertical="center"/>
    </xf>
    <xf numFmtId="164" fontId="3" fillId="3" borderId="59" xfId="0" applyNumberFormat="1" applyFont="1" applyFill="1" applyBorder="1" applyAlignment="1">
      <alignment horizontal="center" vertical="center"/>
    </xf>
    <xf numFmtId="0" fontId="3" fillId="13" borderId="74" xfId="0" applyFont="1" applyFill="1" applyBorder="1" applyAlignment="1">
      <alignment horizontal="left" vertical="center"/>
    </xf>
    <xf numFmtId="0" fontId="3" fillId="13" borderId="19" xfId="0" applyFont="1" applyFill="1" applyBorder="1" applyAlignment="1">
      <alignment horizontal="left" vertical="center"/>
    </xf>
    <xf numFmtId="0" fontId="56" fillId="13" borderId="33" xfId="3" applyFont="1" applyFill="1" applyBorder="1" applyAlignment="1">
      <alignment horizontal="center" vertical="center"/>
    </xf>
    <xf numFmtId="0" fontId="56" fillId="13" borderId="13" xfId="3" applyFont="1" applyFill="1" applyBorder="1" applyAlignment="1">
      <alignment horizontal="center" vertical="center"/>
    </xf>
    <xf numFmtId="0" fontId="55" fillId="13" borderId="33" xfId="0" applyFont="1" applyFill="1" applyBorder="1" applyAlignment="1">
      <alignment horizontal="center" vertical="center" wrapText="1"/>
    </xf>
    <xf numFmtId="0" fontId="55" fillId="13" borderId="13" xfId="0" applyFont="1" applyFill="1" applyBorder="1" applyAlignment="1">
      <alignment horizontal="center" vertical="center" wrapText="1"/>
    </xf>
    <xf numFmtId="0" fontId="58" fillId="13" borderId="10" xfId="0" applyFont="1" applyFill="1" applyBorder="1" applyAlignment="1">
      <alignment horizontal="center" vertical="center" wrapText="1"/>
    </xf>
    <xf numFmtId="0" fontId="58" fillId="13" borderId="13" xfId="0" applyFont="1" applyFill="1" applyBorder="1" applyAlignment="1">
      <alignment horizontal="center" vertical="center" wrapText="1"/>
    </xf>
    <xf numFmtId="0" fontId="3" fillId="13" borderId="74" xfId="0" applyFont="1" applyFill="1" applyBorder="1" applyAlignment="1">
      <alignment horizontal="left" vertical="center" wrapText="1"/>
    </xf>
    <xf numFmtId="0" fontId="3" fillId="13" borderId="18" xfId="0" applyFont="1" applyFill="1" applyBorder="1" applyAlignment="1">
      <alignment horizontal="left" vertical="center" wrapText="1"/>
    </xf>
    <xf numFmtId="0" fontId="3" fillId="13" borderId="19" xfId="0" applyFont="1" applyFill="1" applyBorder="1" applyAlignment="1">
      <alignment horizontal="left" vertical="center" wrapText="1"/>
    </xf>
    <xf numFmtId="0" fontId="3" fillId="13" borderId="18" xfId="0" applyFont="1" applyFill="1" applyBorder="1" applyAlignment="1">
      <alignment horizontal="left" vertical="center"/>
    </xf>
    <xf numFmtId="0" fontId="3" fillId="0" borderId="18" xfId="0" applyFont="1" applyBorder="1" applyAlignment="1">
      <alignment horizontal="left" vertical="center" wrapText="1"/>
    </xf>
    <xf numFmtId="0" fontId="56" fillId="13" borderId="10" xfId="3" applyFont="1" applyFill="1" applyBorder="1" applyAlignment="1">
      <alignment horizontal="center" vertical="center"/>
    </xf>
    <xf numFmtId="0" fontId="56" fillId="0" borderId="10" xfId="3" applyFont="1" applyBorder="1" applyAlignment="1">
      <alignment horizontal="center" vertical="center"/>
    </xf>
    <xf numFmtId="0" fontId="58" fillId="13" borderId="33" xfId="0" applyFont="1" applyFill="1" applyBorder="1" applyAlignment="1">
      <alignment horizontal="center" vertical="center" wrapText="1"/>
    </xf>
    <xf numFmtId="0" fontId="59" fillId="4" borderId="78" xfId="0" applyFont="1" applyFill="1" applyBorder="1" applyAlignment="1">
      <alignment horizontal="center" vertical="center"/>
    </xf>
    <xf numFmtId="0" fontId="59" fillId="4" borderId="79" xfId="0" applyFont="1" applyFill="1" applyBorder="1" applyAlignment="1">
      <alignment horizontal="center" vertical="center"/>
    </xf>
    <xf numFmtId="0" fontId="58" fillId="13" borderId="10" xfId="3" applyFont="1" applyFill="1" applyBorder="1" applyAlignment="1">
      <alignment horizontal="center" vertical="center" wrapText="1"/>
    </xf>
    <xf numFmtId="0" fontId="58" fillId="13" borderId="13" xfId="3" applyFont="1" applyFill="1" applyBorder="1" applyAlignment="1">
      <alignment horizontal="center" vertical="center" wrapText="1"/>
    </xf>
    <xf numFmtId="0" fontId="58" fillId="0" borderId="10" xfId="3" applyFont="1" applyBorder="1" applyAlignment="1">
      <alignment horizontal="center" vertical="center" wrapText="1"/>
    </xf>
    <xf numFmtId="0" fontId="58" fillId="0" borderId="10" xfId="0" applyFont="1" applyBorder="1" applyAlignment="1">
      <alignment horizontal="center" vertical="center" wrapText="1"/>
    </xf>
    <xf numFmtId="0" fontId="60" fillId="4" borderId="75" xfId="0" applyFont="1" applyFill="1" applyBorder="1" applyAlignment="1">
      <alignment horizontal="center" vertical="center"/>
    </xf>
    <xf numFmtId="0" fontId="60" fillId="4" borderId="76" xfId="0" applyFont="1" applyFill="1" applyBorder="1" applyAlignment="1">
      <alignment horizontal="center" vertical="center"/>
    </xf>
    <xf numFmtId="0" fontId="59" fillId="4" borderId="75" xfId="0" applyFont="1" applyFill="1" applyBorder="1" applyAlignment="1">
      <alignment horizontal="center" vertical="center"/>
    </xf>
    <xf numFmtId="0" fontId="59" fillId="4" borderId="77" xfId="0" applyFont="1" applyFill="1" applyBorder="1" applyAlignment="1">
      <alignment horizontal="center" vertical="center"/>
    </xf>
    <xf numFmtId="0" fontId="59" fillId="4" borderId="76" xfId="0" applyFont="1" applyFill="1" applyBorder="1" applyAlignment="1">
      <alignment horizontal="center" vertical="center"/>
    </xf>
    <xf numFmtId="0" fontId="59" fillId="4" borderId="75" xfId="3" applyFont="1" applyFill="1" applyBorder="1" applyAlignment="1">
      <alignment horizontal="center" vertical="center"/>
    </xf>
    <xf numFmtId="0" fontId="59" fillId="4" borderId="76" xfId="3" applyFont="1" applyFill="1" applyBorder="1" applyAlignment="1">
      <alignment horizontal="center" vertical="center"/>
    </xf>
    <xf numFmtId="0" fontId="59" fillId="4" borderId="77" xfId="3" applyFont="1" applyFill="1" applyBorder="1" applyAlignment="1">
      <alignment horizontal="center" vertical="center"/>
    </xf>
    <xf numFmtId="164" fontId="1" fillId="3" borderId="66" xfId="0" applyNumberFormat="1" applyFont="1" applyFill="1" applyBorder="1" applyAlignment="1" applyProtection="1">
      <alignment horizontal="center" vertical="center"/>
      <protection locked="0"/>
    </xf>
    <xf numFmtId="164" fontId="1" fillId="3" borderId="67" xfId="0" applyNumberFormat="1" applyFont="1" applyFill="1" applyBorder="1" applyAlignment="1" applyProtection="1">
      <alignment horizontal="center" vertical="center"/>
      <protection locked="0"/>
    </xf>
    <xf numFmtId="164" fontId="1" fillId="3" borderId="68" xfId="0" applyNumberFormat="1" applyFont="1" applyFill="1" applyBorder="1" applyAlignment="1" applyProtection="1">
      <alignment horizontal="center" vertical="center"/>
      <protection locked="0"/>
    </xf>
    <xf numFmtId="0" fontId="26" fillId="13" borderId="26" xfId="0" applyFont="1" applyFill="1" applyBorder="1" applyAlignment="1">
      <alignment horizontal="center" vertical="center"/>
    </xf>
    <xf numFmtId="0" fontId="26" fillId="13" borderId="31" xfId="0" applyFont="1" applyFill="1" applyBorder="1" applyAlignment="1">
      <alignment horizontal="center" vertical="center"/>
    </xf>
    <xf numFmtId="164" fontId="3" fillId="3" borderId="57" xfId="0" quotePrefix="1" applyNumberFormat="1" applyFont="1" applyFill="1" applyBorder="1" applyAlignment="1">
      <alignment horizontal="center" vertical="center"/>
    </xf>
    <xf numFmtId="164" fontId="3" fillId="3" borderId="58" xfId="0" quotePrefix="1" applyNumberFormat="1" applyFont="1" applyFill="1" applyBorder="1" applyAlignment="1">
      <alignment horizontal="center" vertical="center"/>
    </xf>
    <xf numFmtId="164" fontId="3" fillId="3" borderId="59" xfId="0" quotePrefix="1" applyNumberFormat="1" applyFont="1" applyFill="1" applyBorder="1" applyAlignment="1">
      <alignment horizontal="center" vertical="center"/>
    </xf>
    <xf numFmtId="164" fontId="3" fillId="3" borderId="63" xfId="0" applyNumberFormat="1" applyFont="1" applyFill="1" applyBorder="1" applyAlignment="1">
      <alignment horizontal="center" vertical="center"/>
    </xf>
    <xf numFmtId="164" fontId="3" fillId="3" borderId="64" xfId="0" applyNumberFormat="1" applyFont="1" applyFill="1" applyBorder="1" applyAlignment="1">
      <alignment horizontal="center" vertical="center"/>
    </xf>
    <xf numFmtId="164" fontId="3" fillId="3" borderId="65" xfId="0" applyNumberFormat="1" applyFont="1" applyFill="1" applyBorder="1" applyAlignment="1">
      <alignment horizontal="center" vertical="center"/>
    </xf>
  </cellXfs>
  <cellStyles count="7">
    <cellStyle name="Gut" xfId="4" builtinId="26"/>
    <cellStyle name="Link" xfId="2" builtinId="8"/>
    <cellStyle name="Neutral" xfId="6" builtinId="28"/>
    <cellStyle name="Normalny 3" xfId="1" xr:uid="{EEC1BCC8-9ABA-4627-8ECC-EBB4C8FCE279}"/>
    <cellStyle name="Schlecht" xfId="5" builtinId="27"/>
    <cellStyle name="Standard" xfId="0" builtinId="0"/>
    <cellStyle name="Standard 4" xfId="3" xr:uid="{5B34611C-8768-4DF5-99EB-F3804CB75AF8}"/>
  </cellStyles>
  <dxfs count="167">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ont>
        <color auto="1"/>
      </font>
      <fill>
        <patternFill>
          <bgColor rgb="FFFF6969"/>
        </patternFill>
      </fill>
    </dxf>
    <dxf>
      <font>
        <color theme="7" tint="-0.499984740745262"/>
      </font>
    </dxf>
    <dxf>
      <font>
        <color theme="7" tint="-0.499984740745262"/>
      </font>
    </dxf>
    <dxf>
      <font>
        <color rgb="FFC00000"/>
      </font>
    </dxf>
    <dxf>
      <font>
        <color rgb="FF10A047"/>
      </font>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ill>
        <patternFill>
          <bgColor rgb="FFFF6969"/>
        </patternFill>
      </fill>
    </dxf>
    <dxf>
      <font>
        <color theme="7" tint="-0.499984740745262"/>
      </font>
      <fill>
        <patternFill>
          <bgColor rgb="FFFFEB9C"/>
        </patternFill>
      </fill>
    </dxf>
    <dxf>
      <font>
        <color theme="7" tint="-0.499984740745262"/>
      </font>
      <fill>
        <patternFill>
          <bgColor rgb="FFFFEB9C"/>
        </patternFill>
      </fill>
    </dxf>
    <dxf>
      <font>
        <color rgb="FFC00000"/>
      </font>
      <fill>
        <patternFill>
          <bgColor rgb="FFFFC7CE"/>
        </patternFill>
      </fill>
    </dxf>
    <dxf>
      <font>
        <color theme="9" tint="-0.499984740745262"/>
      </font>
      <fill>
        <patternFill>
          <bgColor rgb="FFC6EFCE"/>
        </patternFill>
      </fill>
    </dxf>
    <dxf>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rgb="FFFF6969"/>
        </patternFill>
      </fill>
    </dxf>
    <dxf>
      <font>
        <color auto="1"/>
      </font>
      <fill>
        <patternFill>
          <bgColor rgb="FFFF6969"/>
        </patternFill>
      </fill>
    </dxf>
    <dxf>
      <fill>
        <patternFill>
          <bgColor rgb="FFFF6969"/>
        </patternFill>
      </fill>
    </dxf>
    <dxf>
      <font>
        <color auto="1"/>
      </font>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dxf>
    <dxf>
      <fill>
        <patternFill>
          <bgColor rgb="FFFF6969"/>
        </patternFill>
      </fill>
    </dxf>
    <dxf>
      <font>
        <color auto="1"/>
      </font>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ill>
        <patternFill>
          <bgColor theme="0" tint="-0.24994659260841701"/>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theme="0" tint="-0.24994659260841701"/>
        </patternFill>
      </fill>
    </dxf>
    <dxf>
      <fill>
        <patternFill>
          <bgColor theme="0" tint="-0.24994659260841701"/>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theme="0" tint="-0.24994659260841701"/>
        </patternFill>
      </fill>
    </dxf>
    <dxf>
      <fill>
        <patternFill>
          <bgColor theme="0" tint="-0.24994659260841701"/>
        </patternFill>
      </fill>
    </dxf>
    <dxf>
      <font>
        <color auto="1"/>
      </font>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ont>
        <color auto="1"/>
      </font>
      <fill>
        <patternFill>
          <bgColor rgb="FFFF6969"/>
        </patternFill>
      </fill>
      <border>
        <left style="thin">
          <color auto="1"/>
        </left>
        <right style="thin">
          <color auto="1"/>
        </right>
      </border>
    </dxf>
    <dxf>
      <font>
        <color auto="1"/>
      </font>
      <fill>
        <patternFill>
          <bgColor rgb="FFFF6969"/>
        </patternFill>
      </fill>
      <border>
        <left style="thin">
          <color auto="1"/>
        </left>
        <right style="thin">
          <color auto="1"/>
        </right>
      </border>
    </dxf>
    <dxf>
      <fill>
        <patternFill>
          <bgColor rgb="FFFF6969"/>
        </patternFill>
      </fill>
    </dxf>
    <dxf>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rgb="FFFF6969"/>
        </patternFill>
      </fill>
    </dxf>
    <dxf>
      <fill>
        <patternFill>
          <bgColor rgb="FFFF6969"/>
        </patternFill>
      </fill>
    </dxf>
    <dxf>
      <fill>
        <patternFill>
          <bgColor rgb="FFFF6969"/>
        </patternFill>
      </fill>
    </dxf>
    <dxf>
      <fill>
        <patternFill>
          <bgColor theme="0" tint="-0.24994659260841701"/>
        </patternFill>
      </fill>
    </dxf>
    <dxf>
      <fill>
        <patternFill>
          <bgColor theme="0" tint="-0.24994659260841701"/>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rgb="FFFF6969"/>
        </patternFill>
      </fill>
    </dxf>
    <dxf>
      <font>
        <b/>
        <i val="0"/>
        <color rgb="FFFF6969"/>
      </font>
      <fill>
        <patternFill>
          <bgColor theme="0"/>
        </patternFill>
      </fill>
    </dxf>
    <dxf>
      <font>
        <b/>
        <i val="0"/>
        <color rgb="FFFF6969"/>
      </font>
      <fill>
        <patternFill>
          <bgColor theme="0"/>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b/>
        <i val="0"/>
        <color rgb="FFFF6969"/>
      </font>
    </dxf>
    <dxf>
      <font>
        <b/>
        <i val="0"/>
        <color rgb="FFFF6969"/>
      </font>
    </dxf>
    <dxf>
      <font>
        <b/>
        <i val="0"/>
        <color rgb="FFFF6969"/>
      </font>
    </dxf>
    <dxf>
      <font>
        <b/>
        <i val="0"/>
        <color auto="1"/>
      </font>
    </dxf>
    <dxf>
      <fill>
        <patternFill>
          <bgColor rgb="FFFF6969"/>
        </patternFill>
      </fill>
    </dxf>
    <dxf>
      <font>
        <color auto="1"/>
      </font>
      <fill>
        <patternFill>
          <bgColor rgb="FFFF6969"/>
        </patternFill>
      </fill>
    </dxf>
    <dxf>
      <font>
        <color auto="1"/>
      </font>
      <fill>
        <patternFill>
          <bgColor rgb="FFFF6969"/>
        </patternFill>
      </fill>
    </dxf>
    <dxf>
      <fill>
        <patternFill>
          <bgColor theme="0"/>
        </patternFill>
      </fill>
    </dxf>
    <dxf>
      <fill>
        <patternFill>
          <bgColor rgb="FFFF6969"/>
        </patternFill>
      </fill>
    </dxf>
    <dxf>
      <font>
        <color auto="1"/>
      </font>
      <fill>
        <patternFill>
          <bgColor rgb="FFFF6969"/>
        </patternFill>
      </fill>
    </dxf>
    <dxf>
      <fill>
        <patternFill>
          <bgColor theme="0"/>
        </patternFill>
      </fill>
    </dxf>
    <dxf>
      <fill>
        <patternFill>
          <bgColor rgb="FFFF6969"/>
        </patternFill>
      </fill>
    </dxf>
    <dxf>
      <font>
        <color auto="1"/>
      </font>
      <fill>
        <patternFill>
          <bgColor rgb="FFFF6969"/>
        </patternFill>
      </fill>
    </dxf>
    <dxf>
      <font>
        <color auto="1"/>
      </font>
      <fill>
        <patternFill>
          <bgColor rgb="FFFF6969"/>
        </patternFill>
      </fill>
    </dxf>
    <dxf>
      <font>
        <color auto="1"/>
      </font>
      <fill>
        <patternFill>
          <bgColor rgb="FFFF6969"/>
        </patternFill>
      </fill>
    </dxf>
    <dxf>
      <font>
        <b/>
        <i val="0"/>
        <color rgb="FFFF6969"/>
      </font>
    </dxf>
    <dxf>
      <font>
        <b/>
        <i val="0"/>
        <color rgb="FFFF6969"/>
      </font>
    </dxf>
    <dxf>
      <font>
        <color auto="1"/>
      </font>
      <fill>
        <patternFill>
          <bgColor rgb="FFFF6969"/>
        </patternFill>
      </fill>
    </dxf>
    <dxf>
      <font>
        <color auto="1"/>
      </font>
      <fill>
        <patternFill>
          <bgColor rgb="FFFF6969"/>
        </patternFill>
      </fill>
    </dxf>
    <dxf>
      <font>
        <color auto="1"/>
      </font>
      <fill>
        <patternFill>
          <bgColor rgb="FFFF6969"/>
        </patternFill>
      </fill>
    </dxf>
    <dxf>
      <font>
        <b/>
        <i val="0"/>
        <color rgb="FFFF6969"/>
      </font>
    </dxf>
    <dxf>
      <font>
        <b/>
        <i val="0"/>
        <color rgb="FFFF6969"/>
      </font>
    </dxf>
    <dxf>
      <fill>
        <patternFill>
          <bgColor rgb="FFFF6969"/>
        </patternFill>
      </fill>
    </dxf>
    <dxf>
      <font>
        <b/>
        <i val="0"/>
        <color rgb="FFFF6969"/>
      </font>
    </dxf>
    <dxf>
      <font>
        <b/>
        <i val="0"/>
        <color rgb="FFFF6969"/>
      </font>
    </dxf>
    <dxf>
      <font>
        <color auto="1"/>
      </font>
      <fill>
        <patternFill>
          <bgColor rgb="FFFF6969"/>
        </patternFill>
      </fill>
    </dxf>
    <dxf>
      <font>
        <color auto="1"/>
      </font>
      <fill>
        <patternFill>
          <bgColor rgb="FFFF6969"/>
        </patternFill>
      </fill>
    </dxf>
    <dxf>
      <font>
        <b/>
        <i val="0"/>
        <color rgb="FFFF6969"/>
      </font>
    </dxf>
    <dxf>
      <font>
        <b/>
        <i val="0"/>
        <color rgb="FFFF6969"/>
      </font>
    </dxf>
    <dxf>
      <fill>
        <patternFill>
          <bgColor rgb="FFFF6969"/>
        </patternFill>
      </fill>
    </dxf>
    <dxf>
      <font>
        <color auto="1"/>
      </font>
      <fill>
        <patternFill>
          <bgColor rgb="FFFF6969"/>
        </patternFill>
      </fill>
    </dxf>
    <dxf>
      <font>
        <color auto="1"/>
      </font>
      <fill>
        <patternFill>
          <bgColor rgb="FFFF6969"/>
        </patternFill>
      </fill>
    </dxf>
    <dxf>
      <fill>
        <patternFill>
          <bgColor rgb="FFFF6969"/>
        </patternFill>
      </fill>
    </dxf>
    <dxf>
      <fill>
        <patternFill>
          <bgColor theme="0"/>
        </patternFill>
      </fill>
    </dxf>
    <dxf>
      <fill>
        <patternFill>
          <bgColor rgb="FFFF6969"/>
        </patternFill>
      </fill>
    </dxf>
    <dxf>
      <fill>
        <patternFill>
          <bgColor theme="0"/>
        </patternFill>
      </fill>
    </dxf>
    <dxf>
      <fill>
        <patternFill>
          <bgColor rgb="FFFF6969"/>
        </patternFill>
      </fill>
    </dxf>
    <dxf>
      <fill>
        <patternFill>
          <bgColor theme="0"/>
        </patternFill>
      </fill>
    </dxf>
    <dxf>
      <font>
        <color auto="1"/>
      </font>
      <fill>
        <patternFill>
          <bgColor rgb="FFFF6969"/>
        </patternFill>
      </fill>
    </dxf>
    <dxf>
      <font>
        <color auto="1"/>
      </font>
      <fill>
        <patternFill>
          <bgColor rgb="FFFF6969"/>
        </patternFill>
      </fill>
    </dxf>
    <dxf>
      <font>
        <b/>
        <i val="0"/>
        <strike val="0"/>
        <color rgb="FF00B050"/>
      </font>
    </dxf>
    <dxf>
      <fill>
        <patternFill>
          <bgColor rgb="FFFF7171"/>
        </patternFill>
      </fill>
    </dxf>
    <dxf>
      <font>
        <strike val="0"/>
      </font>
      <fill>
        <patternFill patternType="none">
          <bgColor auto="1"/>
        </patternFill>
      </fill>
    </dxf>
    <dxf>
      <font>
        <color auto="1"/>
      </font>
      <fill>
        <patternFill>
          <bgColor rgb="FFFF6969"/>
        </patternFill>
      </fill>
    </dxf>
    <dxf>
      <fill>
        <patternFill>
          <bgColor rgb="FFFF6969"/>
        </patternFill>
      </fill>
    </dxf>
    <dxf>
      <font>
        <b/>
        <i val="0"/>
        <color rgb="FFFF0000"/>
      </font>
    </dxf>
    <dxf>
      <font>
        <b/>
        <i val="0"/>
        <color rgb="FF9C5700"/>
      </font>
      <fill>
        <patternFill patternType="none">
          <bgColor auto="1"/>
        </patternFill>
      </fill>
    </dxf>
    <dxf>
      <font>
        <b/>
        <i val="0"/>
        <color rgb="FF00B050"/>
      </font>
      <fill>
        <patternFill patternType="none">
          <bgColor auto="1"/>
        </patternFill>
      </fill>
    </dxf>
    <dxf>
      <font>
        <b/>
        <i val="0"/>
        <color rgb="FF00B05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9C5700"/>
      </font>
      <fill>
        <patternFill patternType="none">
          <bgColor auto="1"/>
        </patternFill>
      </fill>
    </dxf>
    <dxf>
      <font>
        <b/>
        <i val="0"/>
        <color theme="7" tint="-0.499984740745262"/>
      </font>
      <fill>
        <patternFill patternType="none">
          <bgColor auto="1"/>
        </patternFill>
      </fill>
    </dxf>
    <dxf>
      <font>
        <b/>
        <i val="0"/>
        <color rgb="FF00B050"/>
      </font>
    </dxf>
    <dxf>
      <font>
        <color auto="1"/>
      </font>
      <fill>
        <patternFill>
          <bgColor rgb="FFFF6969"/>
        </patternFill>
      </fill>
    </dxf>
    <dxf>
      <font>
        <b/>
        <i val="0"/>
        <color rgb="FFFF6969"/>
      </font>
    </dxf>
    <dxf>
      <font>
        <b/>
        <i val="0"/>
        <color rgb="FFFF6969"/>
      </font>
    </dxf>
    <dxf>
      <font>
        <color auto="1"/>
      </font>
      <fill>
        <patternFill>
          <bgColor rgb="FFFF6969"/>
        </patternFill>
      </fill>
    </dxf>
    <dxf>
      <font>
        <color auto="1"/>
      </font>
      <fill>
        <patternFill>
          <bgColor rgb="FFFF6969"/>
        </patternFill>
      </fill>
    </dxf>
    <dxf>
      <font>
        <color auto="1"/>
      </font>
      <fill>
        <patternFill>
          <bgColor rgb="FFFF6969"/>
        </patternFill>
      </fill>
    </dxf>
  </dxfs>
  <tableStyles count="0" defaultTableStyle="TableStyleMedium2" defaultPivotStyle="PivotStyleLight16"/>
  <colors>
    <mruColors>
      <color rgb="FF10A047"/>
      <color rgb="FFFF7171"/>
      <color rgb="FFFF6969"/>
      <color rgb="FFFFEB9C"/>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R$12" lockText="1" noThreeD="1"/>
</file>

<file path=xl/ctrlProps/ctrlProp10.xml><?xml version="1.0" encoding="utf-8"?>
<formControlPr xmlns="http://schemas.microsoft.com/office/spreadsheetml/2009/9/main" objectType="CheckBox" fmlaLink="$AR$18" lockText="1" noThreeD="1"/>
</file>

<file path=xl/ctrlProps/ctrlProp11.xml><?xml version="1.0" encoding="utf-8"?>
<formControlPr xmlns="http://schemas.microsoft.com/office/spreadsheetml/2009/9/main" objectType="Drop" dropStyle="combo" dx="26" fmlaLink="Language!$B$2" fmlaRange="Language!$C$3:$C$5" noThreeD="1" sel="2" val="0"/>
</file>

<file path=xl/ctrlProps/ctrlProp12.xml><?xml version="1.0" encoding="utf-8"?>
<formControlPr xmlns="http://schemas.microsoft.com/office/spreadsheetml/2009/9/main" objectType="CheckBox" fmlaLink="$AR$6" lockText="1" noThreeD="1"/>
</file>

<file path=xl/ctrlProps/ctrlProp13.xml><?xml version="1.0" encoding="utf-8"?>
<formControlPr xmlns="http://schemas.microsoft.com/office/spreadsheetml/2009/9/main" objectType="CheckBox" fmlaLink="$AR$8" lockText="1" noThreeD="1"/>
</file>

<file path=xl/ctrlProps/ctrlProp14.xml><?xml version="1.0" encoding="utf-8"?>
<formControlPr xmlns="http://schemas.microsoft.com/office/spreadsheetml/2009/9/main" objectType="CheckBox" fmlaLink="$AR$5" lockText="1" noThreeD="1"/>
</file>

<file path=xl/ctrlProps/ctrlProp15.xml><?xml version="1.0" encoding="utf-8"?>
<formControlPr xmlns="http://schemas.microsoft.com/office/spreadsheetml/2009/9/main" objectType="CheckBox" fmlaLink="$AR$7" lockText="1" noThreeD="1"/>
</file>

<file path=xl/ctrlProps/ctrlProp16.xml><?xml version="1.0" encoding="utf-8"?>
<formControlPr xmlns="http://schemas.microsoft.com/office/spreadsheetml/2009/9/main" objectType="CheckBox" fmlaLink="$AR$4" lockText="1" noThreeD="1"/>
</file>

<file path=xl/ctrlProps/ctrlProp17.xml><?xml version="1.0" encoding="utf-8"?>
<formControlPr xmlns="http://schemas.microsoft.com/office/spreadsheetml/2009/9/main" objectType="CheckBox" fmlaLink="$AR$16" lockText="1" noThreeD="1"/>
</file>

<file path=xl/ctrlProps/ctrlProp18.xml><?xml version="1.0" encoding="utf-8"?>
<formControlPr xmlns="http://schemas.microsoft.com/office/spreadsheetml/2009/9/main" objectType="CheckBox" fmlaLink="$AR$11" lockText="1" noThreeD="1"/>
</file>

<file path=xl/ctrlProps/ctrlProp19.xml><?xml version="1.0" encoding="utf-8"?>
<formControlPr xmlns="http://schemas.microsoft.com/office/spreadsheetml/2009/9/main" objectType="CheckBox" fmlaLink="$AR$9" lockText="1" noThreeD="1"/>
</file>

<file path=xl/ctrlProps/ctrlProp2.xml><?xml version="1.0" encoding="utf-8"?>
<formControlPr xmlns="http://schemas.microsoft.com/office/spreadsheetml/2009/9/main" objectType="CheckBox" fmlaLink="$AR$9" lockText="1" noThreeD="1"/>
</file>

<file path=xl/ctrlProps/ctrlProp20.xml><?xml version="1.0" encoding="utf-8"?>
<formControlPr xmlns="http://schemas.microsoft.com/office/spreadsheetml/2009/9/main" objectType="Drop" dropStyle="combo" dx="26" fmlaLink="Language!$B$2" fmlaRange="Language!$C$3:$C$5" noThreeD="1" sel="2" val="0"/>
</file>

<file path=xl/ctrlProps/ctrlProp21.xml><?xml version="1.0" encoding="utf-8"?>
<formControlPr xmlns="http://schemas.microsoft.com/office/spreadsheetml/2009/9/main" objectType="Drop" dropStyle="combo" dx="26" fmlaLink="Language!$B$2" fmlaRange="Language!$C$3:$C$5" noThreeD="1" sel="2" val="0"/>
</file>

<file path=xl/ctrlProps/ctrlProp3.xml><?xml version="1.0" encoding="utf-8"?>
<formControlPr xmlns="http://schemas.microsoft.com/office/spreadsheetml/2009/9/main" objectType="Drop" dropStyle="combo" dx="26" fmlaLink="Language!$B$2" fmlaRange="Language!$C$3:$C$5" noThreeD="1" sel="2" val="0"/>
</file>

<file path=xl/ctrlProps/ctrlProp4.xml><?xml version="1.0" encoding="utf-8"?>
<formControlPr xmlns="http://schemas.microsoft.com/office/spreadsheetml/2009/9/main" objectType="CheckBox" fmlaLink="$AR$9" lockText="1" noThreeD="1"/>
</file>

<file path=xl/ctrlProps/ctrlProp5.xml><?xml version="1.0" encoding="utf-8"?>
<formControlPr xmlns="http://schemas.microsoft.com/office/spreadsheetml/2009/9/main" objectType="CheckBox" fmlaLink="$AR$15" lockText="1" noThreeD="1"/>
</file>

<file path=xl/ctrlProps/ctrlProp6.xml><?xml version="1.0" encoding="utf-8"?>
<formControlPr xmlns="http://schemas.microsoft.com/office/spreadsheetml/2009/9/main" objectType="CheckBox" fmlaLink="$AR$18" lockText="1" noThreeD="1"/>
</file>

<file path=xl/ctrlProps/ctrlProp7.xml><?xml version="1.0" encoding="utf-8"?>
<formControlPr xmlns="http://schemas.microsoft.com/office/spreadsheetml/2009/9/main" objectType="CheckBox" fmlaLink="'D1-D3'!$AR$4" lockText="1" noThreeD="1"/>
</file>

<file path=xl/ctrlProps/ctrlProp8.xml><?xml version="1.0" encoding="utf-8"?>
<formControlPr xmlns="http://schemas.microsoft.com/office/spreadsheetml/2009/9/main" objectType="CheckBox" fmlaLink="'D1-D3'!$AR$5" lockText="1" noThreeD="1"/>
</file>

<file path=xl/ctrlProps/ctrlProp9.xml><?xml version="1.0" encoding="utf-8"?>
<formControlPr xmlns="http://schemas.microsoft.com/office/spreadsheetml/2009/9/main" objectType="CheckBox" fmlaLink="$AR$12" lockText="1" noThreeD="1"/>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7620</xdr:colOff>
          <xdr:row>47</xdr:row>
          <xdr:rowOff>137160</xdr:rowOff>
        </xdr:from>
        <xdr:to>
          <xdr:col>20</xdr:col>
          <xdr:colOff>22860</xdr:colOff>
          <xdr:row>49</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alpha val="62000"/>
                    </a:srgbClr>
                  </a:solidFill>
                </a14:hiddenFill>
              </a:ext>
              <a:ext uri="{91240B29-F687-4F45-9708-019B960494DF}">
                <a14:hiddenLine w="1905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47</xdr:row>
          <xdr:rowOff>45720</xdr:rowOff>
        </xdr:from>
        <xdr:to>
          <xdr:col>11</xdr:col>
          <xdr:colOff>0</xdr:colOff>
          <xdr:row>49</xdr:row>
          <xdr:rowOff>30480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548640</xdr:colOff>
          <xdr:row>10</xdr:row>
          <xdr:rowOff>30480</xdr:rowOff>
        </xdr:from>
        <xdr:to>
          <xdr:col>36</xdr:col>
          <xdr:colOff>746760</xdr:colOff>
          <xdr:row>11</xdr:row>
          <xdr:rowOff>106680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16</xdr:row>
          <xdr:rowOff>53340</xdr:rowOff>
        </xdr:from>
        <xdr:to>
          <xdr:col>18</xdr:col>
          <xdr:colOff>220980</xdr:colOff>
          <xdr:row>18</xdr:row>
          <xdr:rowOff>22860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45720</xdr:rowOff>
        </xdr:from>
        <xdr:to>
          <xdr:col>22</xdr:col>
          <xdr:colOff>38100</xdr:colOff>
          <xdr:row>18</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27</xdr:row>
          <xdr:rowOff>60960</xdr:rowOff>
        </xdr:from>
        <xdr:to>
          <xdr:col>19</xdr:col>
          <xdr:colOff>220980</xdr:colOff>
          <xdr:row>29</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228600</xdr:colOff>
          <xdr:row>27</xdr:row>
          <xdr:rowOff>45720</xdr:rowOff>
        </xdr:from>
        <xdr:to>
          <xdr:col>23</xdr:col>
          <xdr:colOff>30480</xdr:colOff>
          <xdr:row>29</xdr:row>
          <xdr:rowOff>22860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33</xdr:row>
          <xdr:rowOff>60960</xdr:rowOff>
        </xdr:from>
        <xdr:to>
          <xdr:col>13</xdr:col>
          <xdr:colOff>190500</xdr:colOff>
          <xdr:row>35</xdr:row>
          <xdr:rowOff>22860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33</xdr:row>
          <xdr:rowOff>60960</xdr:rowOff>
        </xdr:from>
        <xdr:to>
          <xdr:col>19</xdr:col>
          <xdr:colOff>190500</xdr:colOff>
          <xdr:row>35</xdr:row>
          <xdr:rowOff>22860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45720</xdr:rowOff>
        </xdr:from>
        <xdr:to>
          <xdr:col>23</xdr:col>
          <xdr:colOff>38100</xdr:colOff>
          <xdr:row>29</xdr:row>
          <xdr:rowOff>15240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510540</xdr:colOff>
          <xdr:row>10</xdr:row>
          <xdr:rowOff>30480</xdr:rowOff>
        </xdr:from>
        <xdr:to>
          <xdr:col>36</xdr:col>
          <xdr:colOff>746760</xdr:colOff>
          <xdr:row>11</xdr:row>
          <xdr:rowOff>121920</xdr:rowOff>
        </xdr:to>
        <xdr:sp macro="" textlink="">
          <xdr:nvSpPr>
            <xdr:cNvPr id="3088" name="Drop Down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45720</xdr:colOff>
          <xdr:row>51</xdr:row>
          <xdr:rowOff>137160</xdr:rowOff>
        </xdr:from>
        <xdr:to>
          <xdr:col>11</xdr:col>
          <xdr:colOff>15240</xdr:colOff>
          <xdr:row>53</xdr:row>
          <xdr:rowOff>15240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129540</xdr:rowOff>
        </xdr:from>
        <xdr:to>
          <xdr:col>4</xdr:col>
          <xdr:colOff>22860</xdr:colOff>
          <xdr:row>55</xdr:row>
          <xdr:rowOff>22860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51</xdr:row>
          <xdr:rowOff>137160</xdr:rowOff>
        </xdr:from>
        <xdr:to>
          <xdr:col>3</xdr:col>
          <xdr:colOff>228600</xdr:colOff>
          <xdr:row>53</xdr:row>
          <xdr:rowOff>22860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53</xdr:row>
          <xdr:rowOff>129540</xdr:rowOff>
        </xdr:from>
        <xdr:to>
          <xdr:col>11</xdr:col>
          <xdr:colOff>15240</xdr:colOff>
          <xdr:row>54</xdr:row>
          <xdr:rowOff>137160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55</xdr:row>
          <xdr:rowOff>121920</xdr:rowOff>
        </xdr:from>
        <xdr:to>
          <xdr:col>4</xdr:col>
          <xdr:colOff>15240</xdr:colOff>
          <xdr:row>57</xdr:row>
          <xdr:rowOff>15240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xdr:colOff>
          <xdr:row>66</xdr:row>
          <xdr:rowOff>129540</xdr:rowOff>
        </xdr:from>
        <xdr:to>
          <xdr:col>12</xdr:col>
          <xdr:colOff>30480</xdr:colOff>
          <xdr:row>68</xdr:row>
          <xdr:rowOff>15240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53</xdr:row>
          <xdr:rowOff>121920</xdr:rowOff>
        </xdr:from>
        <xdr:to>
          <xdr:col>17</xdr:col>
          <xdr:colOff>213360</xdr:colOff>
          <xdr:row>55</xdr:row>
          <xdr:rowOff>7620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51</xdr:row>
          <xdr:rowOff>114300</xdr:rowOff>
        </xdr:from>
        <xdr:to>
          <xdr:col>18</xdr:col>
          <xdr:colOff>0</xdr:colOff>
          <xdr:row>53</xdr:row>
          <xdr:rowOff>15240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518160</xdr:colOff>
          <xdr:row>10</xdr:row>
          <xdr:rowOff>7620</xdr:rowOff>
        </xdr:from>
        <xdr:to>
          <xdr:col>36</xdr:col>
          <xdr:colOff>777240</xdr:colOff>
          <xdr:row>11</xdr:row>
          <xdr:rowOff>137160</xdr:rowOff>
        </xdr:to>
        <xdr:sp macro="" textlink="">
          <xdr:nvSpPr>
            <xdr:cNvPr id="4113" name="Drop Down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0</xdr:colOff>
      <xdr:row>17</xdr:row>
      <xdr:rowOff>142875</xdr:rowOff>
    </xdr:from>
    <xdr:to>
      <xdr:col>11</xdr:col>
      <xdr:colOff>0</xdr:colOff>
      <xdr:row>40</xdr:row>
      <xdr:rowOff>17145</xdr:rowOff>
    </xdr:to>
    <xdr:cxnSp macro="">
      <xdr:nvCxnSpPr>
        <xdr:cNvPr id="5" name="Gerader Verbinder 4">
          <a:extLst>
            <a:ext uri="{FF2B5EF4-FFF2-40B4-BE49-F238E27FC236}">
              <a16:creationId xmlns:a16="http://schemas.microsoft.com/office/drawing/2014/main" id="{00000000-0008-0000-0600-000005000000}"/>
            </a:ext>
          </a:extLst>
        </xdr:cNvPr>
        <xdr:cNvCxnSpPr/>
      </xdr:nvCxnSpPr>
      <xdr:spPr>
        <a:xfrm>
          <a:off x="2390775" y="2276475"/>
          <a:ext cx="685800" cy="337947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226695</xdr:colOff>
      <xdr:row>17</xdr:row>
      <xdr:rowOff>135255</xdr:rowOff>
    </xdr:from>
    <xdr:to>
      <xdr:col>19</xdr:col>
      <xdr:colOff>226695</xdr:colOff>
      <xdr:row>40</xdr:row>
      <xdr:rowOff>19050</xdr:rowOff>
    </xdr:to>
    <xdr:cxnSp macro="">
      <xdr:nvCxnSpPr>
        <xdr:cNvPr id="9" name="Gerader Verbinder 8">
          <a:extLst>
            <a:ext uri="{FF2B5EF4-FFF2-40B4-BE49-F238E27FC236}">
              <a16:creationId xmlns:a16="http://schemas.microsoft.com/office/drawing/2014/main" id="{00000000-0008-0000-0600-000009000000}"/>
            </a:ext>
          </a:extLst>
        </xdr:cNvPr>
        <xdr:cNvCxnSpPr/>
      </xdr:nvCxnSpPr>
      <xdr:spPr>
        <a:xfrm>
          <a:off x="4446270" y="226885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1905</xdr:colOff>
      <xdr:row>17</xdr:row>
      <xdr:rowOff>131445</xdr:rowOff>
    </xdr:from>
    <xdr:to>
      <xdr:col>29</xdr:col>
      <xdr:colOff>1905</xdr:colOff>
      <xdr:row>40</xdr:row>
      <xdr:rowOff>15240</xdr:rowOff>
    </xdr:to>
    <xdr:cxnSp macro="">
      <xdr:nvCxnSpPr>
        <xdr:cNvPr id="10" name="Gerader Verbinder 9">
          <a:extLst>
            <a:ext uri="{FF2B5EF4-FFF2-40B4-BE49-F238E27FC236}">
              <a16:creationId xmlns:a16="http://schemas.microsoft.com/office/drawing/2014/main" id="{00000000-0008-0000-0600-00000A000000}"/>
            </a:ext>
          </a:extLst>
        </xdr:cNvPr>
        <xdr:cNvCxnSpPr/>
      </xdr:nvCxnSpPr>
      <xdr:spPr>
        <a:xfrm>
          <a:off x="6507480" y="226504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224790</xdr:colOff>
      <xdr:row>17</xdr:row>
      <xdr:rowOff>131445</xdr:rowOff>
    </xdr:from>
    <xdr:to>
      <xdr:col>40</xdr:col>
      <xdr:colOff>224790</xdr:colOff>
      <xdr:row>40</xdr:row>
      <xdr:rowOff>15240</xdr:rowOff>
    </xdr:to>
    <xdr:cxnSp macro="">
      <xdr:nvCxnSpPr>
        <xdr:cNvPr id="11" name="Gerader Verbinder 10">
          <a:extLst>
            <a:ext uri="{FF2B5EF4-FFF2-40B4-BE49-F238E27FC236}">
              <a16:creationId xmlns:a16="http://schemas.microsoft.com/office/drawing/2014/main" id="{00000000-0008-0000-0600-00000B000000}"/>
            </a:ext>
          </a:extLst>
        </xdr:cNvPr>
        <xdr:cNvCxnSpPr/>
      </xdr:nvCxnSpPr>
      <xdr:spPr>
        <a:xfrm>
          <a:off x="9244965" y="226504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224790</xdr:colOff>
      <xdr:row>17</xdr:row>
      <xdr:rowOff>135255</xdr:rowOff>
    </xdr:from>
    <xdr:to>
      <xdr:col>49</xdr:col>
      <xdr:colOff>224790</xdr:colOff>
      <xdr:row>40</xdr:row>
      <xdr:rowOff>19050</xdr:rowOff>
    </xdr:to>
    <xdr:cxnSp macro="">
      <xdr:nvCxnSpPr>
        <xdr:cNvPr id="12" name="Gerader Verbinder 11">
          <a:extLst>
            <a:ext uri="{FF2B5EF4-FFF2-40B4-BE49-F238E27FC236}">
              <a16:creationId xmlns:a16="http://schemas.microsoft.com/office/drawing/2014/main" id="{00000000-0008-0000-0600-00000C000000}"/>
            </a:ext>
          </a:extLst>
        </xdr:cNvPr>
        <xdr:cNvCxnSpPr/>
      </xdr:nvCxnSpPr>
      <xdr:spPr>
        <a:xfrm>
          <a:off x="11302365" y="2268855"/>
          <a:ext cx="685800" cy="338899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1905</xdr:colOff>
      <xdr:row>17</xdr:row>
      <xdr:rowOff>135255</xdr:rowOff>
    </xdr:from>
    <xdr:to>
      <xdr:col>59</xdr:col>
      <xdr:colOff>16809</xdr:colOff>
      <xdr:row>40</xdr:row>
      <xdr:rowOff>33618</xdr:rowOff>
    </xdr:to>
    <xdr:cxnSp macro="">
      <xdr:nvCxnSpPr>
        <xdr:cNvPr id="13" name="Gerader Verbinder 12">
          <a:extLst>
            <a:ext uri="{FF2B5EF4-FFF2-40B4-BE49-F238E27FC236}">
              <a16:creationId xmlns:a16="http://schemas.microsoft.com/office/drawing/2014/main" id="{00000000-0008-0000-0600-00000D000000}"/>
            </a:ext>
          </a:extLst>
        </xdr:cNvPr>
        <xdr:cNvCxnSpPr/>
      </xdr:nvCxnSpPr>
      <xdr:spPr>
        <a:xfrm>
          <a:off x="13426552" y="2253167"/>
          <a:ext cx="704066" cy="3377789"/>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1906</xdr:colOff>
      <xdr:row>41</xdr:row>
      <xdr:rowOff>0</xdr:rowOff>
    </xdr:from>
    <xdr:to>
      <xdr:col>11</xdr:col>
      <xdr:colOff>0</xdr:colOff>
      <xdr:row>63</xdr:row>
      <xdr:rowOff>15240</xdr:rowOff>
    </xdr:to>
    <xdr:cxnSp macro="">
      <xdr:nvCxnSpPr>
        <xdr:cNvPr id="14" name="Gerader Verbinder 13">
          <a:extLst>
            <a:ext uri="{FF2B5EF4-FFF2-40B4-BE49-F238E27FC236}">
              <a16:creationId xmlns:a16="http://schemas.microsoft.com/office/drawing/2014/main" id="{00000000-0008-0000-0600-00000E000000}"/>
            </a:ext>
          </a:extLst>
        </xdr:cNvPr>
        <xdr:cNvCxnSpPr/>
      </xdr:nvCxnSpPr>
      <xdr:spPr>
        <a:xfrm flipH="1">
          <a:off x="2392681" y="5676900"/>
          <a:ext cx="683894" cy="336804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217170</xdr:colOff>
      <xdr:row>40</xdr:row>
      <xdr:rowOff>36195</xdr:rowOff>
    </xdr:from>
    <xdr:to>
      <xdr:col>19</xdr:col>
      <xdr:colOff>219075</xdr:colOff>
      <xdr:row>63</xdr:row>
      <xdr:rowOff>40005</xdr:rowOff>
    </xdr:to>
    <xdr:cxnSp macro="">
      <xdr:nvCxnSpPr>
        <xdr:cNvPr id="20" name="Gerader Verbinder 19">
          <a:extLst>
            <a:ext uri="{FF2B5EF4-FFF2-40B4-BE49-F238E27FC236}">
              <a16:creationId xmlns:a16="http://schemas.microsoft.com/office/drawing/2014/main" id="{00000000-0008-0000-0600-000014000000}"/>
            </a:ext>
          </a:extLst>
        </xdr:cNvPr>
        <xdr:cNvCxnSpPr/>
      </xdr:nvCxnSpPr>
      <xdr:spPr>
        <a:xfrm flipH="1">
          <a:off x="4436745" y="6132195"/>
          <a:ext cx="687705" cy="339471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40</xdr:row>
      <xdr:rowOff>36195</xdr:rowOff>
    </xdr:from>
    <xdr:to>
      <xdr:col>29</xdr:col>
      <xdr:colOff>3</xdr:colOff>
      <xdr:row>63</xdr:row>
      <xdr:rowOff>19050</xdr:rowOff>
    </xdr:to>
    <xdr:cxnSp macro="">
      <xdr:nvCxnSpPr>
        <xdr:cNvPr id="21" name="Gerader Verbinder 20">
          <a:extLst>
            <a:ext uri="{FF2B5EF4-FFF2-40B4-BE49-F238E27FC236}">
              <a16:creationId xmlns:a16="http://schemas.microsoft.com/office/drawing/2014/main" id="{00000000-0008-0000-0600-000015000000}"/>
            </a:ext>
          </a:extLst>
        </xdr:cNvPr>
        <xdr:cNvCxnSpPr/>
      </xdr:nvCxnSpPr>
      <xdr:spPr>
        <a:xfrm flipH="1">
          <a:off x="6505575" y="5674995"/>
          <a:ext cx="685803" cy="337375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5953</xdr:colOff>
      <xdr:row>40</xdr:row>
      <xdr:rowOff>18464</xdr:rowOff>
    </xdr:from>
    <xdr:to>
      <xdr:col>41</xdr:col>
      <xdr:colOff>1</xdr:colOff>
      <xdr:row>62</xdr:row>
      <xdr:rowOff>154781</xdr:rowOff>
    </xdr:to>
    <xdr:cxnSp macro="">
      <xdr:nvCxnSpPr>
        <xdr:cNvPr id="24" name="Gerader Verbinder 23">
          <a:extLst>
            <a:ext uri="{FF2B5EF4-FFF2-40B4-BE49-F238E27FC236}">
              <a16:creationId xmlns:a16="http://schemas.microsoft.com/office/drawing/2014/main" id="{00000000-0008-0000-0600-000018000000}"/>
            </a:ext>
          </a:extLst>
        </xdr:cNvPr>
        <xdr:cNvCxnSpPr/>
      </xdr:nvCxnSpPr>
      <xdr:spPr>
        <a:xfrm flipH="1">
          <a:off x="9167812" y="5745370"/>
          <a:ext cx="672705" cy="3422442"/>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5953</xdr:colOff>
      <xdr:row>40</xdr:row>
      <xdr:rowOff>27403</xdr:rowOff>
    </xdr:from>
    <xdr:to>
      <xdr:col>50</xdr:col>
      <xdr:colOff>1</xdr:colOff>
      <xdr:row>63</xdr:row>
      <xdr:rowOff>11906</xdr:rowOff>
    </xdr:to>
    <xdr:cxnSp macro="">
      <xdr:nvCxnSpPr>
        <xdr:cNvPr id="31" name="Gerader Verbinder 30">
          <a:extLst>
            <a:ext uri="{FF2B5EF4-FFF2-40B4-BE49-F238E27FC236}">
              <a16:creationId xmlns:a16="http://schemas.microsoft.com/office/drawing/2014/main" id="{00000000-0008-0000-0600-00001F000000}"/>
            </a:ext>
          </a:extLst>
        </xdr:cNvPr>
        <xdr:cNvCxnSpPr/>
      </xdr:nvCxnSpPr>
      <xdr:spPr>
        <a:xfrm flipH="1">
          <a:off x="11203781" y="5754309"/>
          <a:ext cx="672704" cy="342541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0</xdr:colOff>
      <xdr:row>40</xdr:row>
      <xdr:rowOff>20619</xdr:rowOff>
    </xdr:from>
    <xdr:to>
      <xdr:col>59</xdr:col>
      <xdr:colOff>18602</xdr:colOff>
      <xdr:row>63</xdr:row>
      <xdr:rowOff>11906</xdr:rowOff>
    </xdr:to>
    <xdr:cxnSp macro="">
      <xdr:nvCxnSpPr>
        <xdr:cNvPr id="34" name="Gerader Verbinder 33">
          <a:extLst>
            <a:ext uri="{FF2B5EF4-FFF2-40B4-BE49-F238E27FC236}">
              <a16:creationId xmlns:a16="http://schemas.microsoft.com/office/drawing/2014/main" id="{00000000-0008-0000-0600-000022000000}"/>
            </a:ext>
          </a:extLst>
        </xdr:cNvPr>
        <xdr:cNvCxnSpPr/>
      </xdr:nvCxnSpPr>
      <xdr:spPr>
        <a:xfrm flipH="1">
          <a:off x="13233797" y="5747525"/>
          <a:ext cx="697258" cy="3432194"/>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198120</xdr:colOff>
      <xdr:row>15</xdr:row>
      <xdr:rowOff>17145</xdr:rowOff>
    </xdr:from>
    <xdr:to>
      <xdr:col>63</xdr:col>
      <xdr:colOff>444210</xdr:colOff>
      <xdr:row>17</xdr:row>
      <xdr:rowOff>11775</xdr:rowOff>
    </xdr:to>
    <xdr:sp macro="" textlink="">
      <xdr:nvSpPr>
        <xdr:cNvPr id="42" name="Multiplizieren 4">
          <a:extLst>
            <a:ext uri="{FF2B5EF4-FFF2-40B4-BE49-F238E27FC236}">
              <a16:creationId xmlns:a16="http://schemas.microsoft.com/office/drawing/2014/main" id="{00000000-0008-0000-0600-00002A000000}"/>
            </a:ext>
          </a:extLst>
        </xdr:cNvPr>
        <xdr:cNvSpPr>
          <a:spLocks noChangeAspect="1"/>
        </xdr:cNvSpPr>
      </xdr:nvSpPr>
      <xdr:spPr>
        <a:xfrm>
          <a:off x="16445049" y="2289538"/>
          <a:ext cx="246090" cy="293987"/>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editAs="absolute">
    <xdr:from>
      <xdr:col>61</xdr:col>
      <xdr:colOff>209550</xdr:colOff>
      <xdr:row>20</xdr:row>
      <xdr:rowOff>135255</xdr:rowOff>
    </xdr:from>
    <xdr:to>
      <xdr:col>61</xdr:col>
      <xdr:colOff>436590</xdr:colOff>
      <xdr:row>22</xdr:row>
      <xdr:rowOff>133695</xdr:rowOff>
    </xdr:to>
    <xdr:sp macro="" textlink="">
      <xdr:nvSpPr>
        <xdr:cNvPr id="65" name="Multiplizieren 4">
          <a:extLst>
            <a:ext uri="{FF2B5EF4-FFF2-40B4-BE49-F238E27FC236}">
              <a16:creationId xmlns:a16="http://schemas.microsoft.com/office/drawing/2014/main" id="{00000000-0008-0000-0600-000041000000}"/>
            </a:ext>
          </a:extLst>
        </xdr:cNvPr>
        <xdr:cNvSpPr/>
      </xdr:nvSpPr>
      <xdr:spPr>
        <a:xfrm>
          <a:off x="14874240" y="3152231"/>
          <a:ext cx="234660" cy="297797"/>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22</xdr:row>
      <xdr:rowOff>53340</xdr:rowOff>
    </xdr:from>
    <xdr:to>
      <xdr:col>61</xdr:col>
      <xdr:colOff>441353</xdr:colOff>
      <xdr:row>24</xdr:row>
      <xdr:rowOff>53685</xdr:rowOff>
    </xdr:to>
    <xdr:sp macro="" textlink="">
      <xdr:nvSpPr>
        <xdr:cNvPr id="66" name="Multiplizieren 4">
          <a:extLst>
            <a:ext uri="{FF2B5EF4-FFF2-40B4-BE49-F238E27FC236}">
              <a16:creationId xmlns:a16="http://schemas.microsoft.com/office/drawing/2014/main" id="{00000000-0008-0000-0600-000042000000}"/>
            </a:ext>
          </a:extLst>
        </xdr:cNvPr>
        <xdr:cNvSpPr/>
      </xdr:nvSpPr>
      <xdr:spPr>
        <a:xfrm>
          <a:off x="14715173" y="339852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23</xdr:row>
      <xdr:rowOff>91440</xdr:rowOff>
    </xdr:from>
    <xdr:to>
      <xdr:col>61</xdr:col>
      <xdr:colOff>441353</xdr:colOff>
      <xdr:row>25</xdr:row>
      <xdr:rowOff>91785</xdr:rowOff>
    </xdr:to>
    <xdr:sp macro="" textlink="">
      <xdr:nvSpPr>
        <xdr:cNvPr id="67" name="Multiplizieren 4">
          <a:extLst>
            <a:ext uri="{FF2B5EF4-FFF2-40B4-BE49-F238E27FC236}">
              <a16:creationId xmlns:a16="http://schemas.microsoft.com/office/drawing/2014/main" id="{00000000-0008-0000-0600-000043000000}"/>
            </a:ext>
          </a:extLst>
        </xdr:cNvPr>
        <xdr:cNvSpPr/>
      </xdr:nvSpPr>
      <xdr:spPr>
        <a:xfrm>
          <a:off x="14715173" y="360045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25</xdr:row>
      <xdr:rowOff>15240</xdr:rowOff>
    </xdr:from>
    <xdr:to>
      <xdr:col>61</xdr:col>
      <xdr:colOff>441353</xdr:colOff>
      <xdr:row>27</xdr:row>
      <xdr:rowOff>15585</xdr:rowOff>
    </xdr:to>
    <xdr:sp macro="" textlink="">
      <xdr:nvSpPr>
        <xdr:cNvPr id="68" name="Multiplizieren 4">
          <a:extLst>
            <a:ext uri="{FF2B5EF4-FFF2-40B4-BE49-F238E27FC236}">
              <a16:creationId xmlns:a16="http://schemas.microsoft.com/office/drawing/2014/main" id="{00000000-0008-0000-0600-000044000000}"/>
            </a:ext>
          </a:extLst>
        </xdr:cNvPr>
        <xdr:cNvSpPr/>
      </xdr:nvSpPr>
      <xdr:spPr>
        <a:xfrm>
          <a:off x="14715173" y="382143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26</xdr:row>
      <xdr:rowOff>59055</xdr:rowOff>
    </xdr:from>
    <xdr:to>
      <xdr:col>61</xdr:col>
      <xdr:colOff>441353</xdr:colOff>
      <xdr:row>28</xdr:row>
      <xdr:rowOff>59400</xdr:rowOff>
    </xdr:to>
    <xdr:sp macro="" textlink="">
      <xdr:nvSpPr>
        <xdr:cNvPr id="69" name="Multiplizieren 4">
          <a:extLst>
            <a:ext uri="{FF2B5EF4-FFF2-40B4-BE49-F238E27FC236}">
              <a16:creationId xmlns:a16="http://schemas.microsoft.com/office/drawing/2014/main" id="{00000000-0008-0000-0600-000045000000}"/>
            </a:ext>
          </a:extLst>
        </xdr:cNvPr>
        <xdr:cNvSpPr/>
      </xdr:nvSpPr>
      <xdr:spPr>
        <a:xfrm>
          <a:off x="14715173" y="402907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205740</xdr:colOff>
      <xdr:row>27</xdr:row>
      <xdr:rowOff>112395</xdr:rowOff>
    </xdr:from>
    <xdr:to>
      <xdr:col>61</xdr:col>
      <xdr:colOff>434685</xdr:colOff>
      <xdr:row>29</xdr:row>
      <xdr:rowOff>112740</xdr:rowOff>
    </xdr:to>
    <xdr:sp macro="" textlink="">
      <xdr:nvSpPr>
        <xdr:cNvPr id="70" name="Multiplizieren 4">
          <a:extLst>
            <a:ext uri="{FF2B5EF4-FFF2-40B4-BE49-F238E27FC236}">
              <a16:creationId xmlns:a16="http://schemas.microsoft.com/office/drawing/2014/main" id="{00000000-0008-0000-0600-000046000000}"/>
            </a:ext>
          </a:extLst>
        </xdr:cNvPr>
        <xdr:cNvSpPr/>
      </xdr:nvSpPr>
      <xdr:spPr>
        <a:xfrm>
          <a:off x="14716125" y="422719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29</xdr:row>
      <xdr:rowOff>15240</xdr:rowOff>
    </xdr:from>
    <xdr:to>
      <xdr:col>61</xdr:col>
      <xdr:colOff>441353</xdr:colOff>
      <xdr:row>31</xdr:row>
      <xdr:rowOff>15585</xdr:rowOff>
    </xdr:to>
    <xdr:sp macro="" textlink="">
      <xdr:nvSpPr>
        <xdr:cNvPr id="71" name="Multiplizieren 4">
          <a:extLst>
            <a:ext uri="{FF2B5EF4-FFF2-40B4-BE49-F238E27FC236}">
              <a16:creationId xmlns:a16="http://schemas.microsoft.com/office/drawing/2014/main" id="{00000000-0008-0000-0600-000047000000}"/>
            </a:ext>
          </a:extLst>
        </xdr:cNvPr>
        <xdr:cNvSpPr/>
      </xdr:nvSpPr>
      <xdr:spPr>
        <a:xfrm>
          <a:off x="14715173" y="443865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211455</xdr:colOff>
      <xdr:row>30</xdr:row>
      <xdr:rowOff>55245</xdr:rowOff>
    </xdr:from>
    <xdr:to>
      <xdr:col>61</xdr:col>
      <xdr:colOff>440400</xdr:colOff>
      <xdr:row>32</xdr:row>
      <xdr:rowOff>55590</xdr:rowOff>
    </xdr:to>
    <xdr:sp macro="" textlink="">
      <xdr:nvSpPr>
        <xdr:cNvPr id="72" name="Multiplizieren 4">
          <a:extLst>
            <a:ext uri="{FF2B5EF4-FFF2-40B4-BE49-F238E27FC236}">
              <a16:creationId xmlns:a16="http://schemas.microsoft.com/office/drawing/2014/main" id="{00000000-0008-0000-0600-000048000000}"/>
            </a:ext>
          </a:extLst>
        </xdr:cNvPr>
        <xdr:cNvSpPr/>
      </xdr:nvSpPr>
      <xdr:spPr>
        <a:xfrm>
          <a:off x="14714220" y="4640580"/>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31</xdr:row>
      <xdr:rowOff>116205</xdr:rowOff>
    </xdr:from>
    <xdr:to>
      <xdr:col>61</xdr:col>
      <xdr:colOff>441353</xdr:colOff>
      <xdr:row>33</xdr:row>
      <xdr:rowOff>116550</xdr:rowOff>
    </xdr:to>
    <xdr:sp macro="" textlink="">
      <xdr:nvSpPr>
        <xdr:cNvPr id="73" name="Multiplizieren 4">
          <a:extLst>
            <a:ext uri="{FF2B5EF4-FFF2-40B4-BE49-F238E27FC236}">
              <a16:creationId xmlns:a16="http://schemas.microsoft.com/office/drawing/2014/main" id="{00000000-0008-0000-0600-000049000000}"/>
            </a:ext>
          </a:extLst>
        </xdr:cNvPr>
        <xdr:cNvSpPr/>
      </xdr:nvSpPr>
      <xdr:spPr>
        <a:xfrm>
          <a:off x="14715173" y="484060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33</xdr:row>
      <xdr:rowOff>20955</xdr:rowOff>
    </xdr:from>
    <xdr:to>
      <xdr:col>61</xdr:col>
      <xdr:colOff>441353</xdr:colOff>
      <xdr:row>35</xdr:row>
      <xdr:rowOff>21300</xdr:rowOff>
    </xdr:to>
    <xdr:sp macro="" textlink="">
      <xdr:nvSpPr>
        <xdr:cNvPr id="74" name="Multiplizieren 4">
          <a:extLst>
            <a:ext uri="{FF2B5EF4-FFF2-40B4-BE49-F238E27FC236}">
              <a16:creationId xmlns:a16="http://schemas.microsoft.com/office/drawing/2014/main" id="{00000000-0008-0000-0600-00004A000000}"/>
            </a:ext>
          </a:extLst>
        </xdr:cNvPr>
        <xdr:cNvSpPr/>
      </xdr:nvSpPr>
      <xdr:spPr>
        <a:xfrm>
          <a:off x="14715173" y="505777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34</xdr:row>
      <xdr:rowOff>78105</xdr:rowOff>
    </xdr:from>
    <xdr:to>
      <xdr:col>61</xdr:col>
      <xdr:colOff>441353</xdr:colOff>
      <xdr:row>36</xdr:row>
      <xdr:rowOff>78450</xdr:rowOff>
    </xdr:to>
    <xdr:sp macro="" textlink="">
      <xdr:nvSpPr>
        <xdr:cNvPr id="75" name="Multiplizieren 4">
          <a:extLst>
            <a:ext uri="{FF2B5EF4-FFF2-40B4-BE49-F238E27FC236}">
              <a16:creationId xmlns:a16="http://schemas.microsoft.com/office/drawing/2014/main" id="{00000000-0008-0000-0600-00004B000000}"/>
            </a:ext>
          </a:extLst>
        </xdr:cNvPr>
        <xdr:cNvSpPr/>
      </xdr:nvSpPr>
      <xdr:spPr>
        <a:xfrm>
          <a:off x="14715173" y="525970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61</xdr:col>
      <xdr:colOff>212408</xdr:colOff>
      <xdr:row>36</xdr:row>
      <xdr:rowOff>816</xdr:rowOff>
    </xdr:from>
    <xdr:to>
      <xdr:col>61</xdr:col>
      <xdr:colOff>441353</xdr:colOff>
      <xdr:row>38</xdr:row>
      <xdr:rowOff>1161</xdr:rowOff>
    </xdr:to>
    <xdr:sp macro="" textlink="">
      <xdr:nvSpPr>
        <xdr:cNvPr id="76" name="Multiplizieren 4">
          <a:extLst>
            <a:ext uri="{FF2B5EF4-FFF2-40B4-BE49-F238E27FC236}">
              <a16:creationId xmlns:a16="http://schemas.microsoft.com/office/drawing/2014/main" id="{00000000-0008-0000-0600-00004C000000}"/>
            </a:ext>
          </a:extLst>
        </xdr:cNvPr>
        <xdr:cNvSpPr/>
      </xdr:nvSpPr>
      <xdr:spPr>
        <a:xfrm>
          <a:off x="14715173" y="5484495"/>
          <a:ext cx="228945" cy="305145"/>
        </a:xfrm>
        <a:prstGeom prst="mathMultiply">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fLocksWithSheet="0"/>
  </xdr:twoCellAnchor>
  <xdr:twoCellAnchor editAs="absolute">
    <xdr:from>
      <xdr:col>63</xdr:col>
      <xdr:colOff>285750</xdr:colOff>
      <xdr:row>21</xdr:row>
      <xdr:rowOff>19050</xdr:rowOff>
    </xdr:from>
    <xdr:to>
      <xdr:col>63</xdr:col>
      <xdr:colOff>512445</xdr:colOff>
      <xdr:row>22</xdr:row>
      <xdr:rowOff>112395</xdr:rowOff>
    </xdr:to>
    <xdr:sp macro="" textlink="">
      <xdr:nvSpPr>
        <xdr:cNvPr id="90" name="Additionszeichen 89">
          <a:extLst>
            <a:ext uri="{FF2B5EF4-FFF2-40B4-BE49-F238E27FC236}">
              <a16:creationId xmlns:a16="http://schemas.microsoft.com/office/drawing/2014/main" id="{00000000-0008-0000-0600-00005A000000}"/>
            </a:ext>
          </a:extLst>
        </xdr:cNvPr>
        <xdr:cNvSpPr/>
      </xdr:nvSpPr>
      <xdr:spPr>
        <a:xfrm>
          <a:off x="16373475" y="3211830"/>
          <a:ext cx="234315" cy="25336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22</xdr:row>
      <xdr:rowOff>55245</xdr:rowOff>
    </xdr:from>
    <xdr:to>
      <xdr:col>63</xdr:col>
      <xdr:colOff>512445</xdr:colOff>
      <xdr:row>24</xdr:row>
      <xdr:rowOff>19050</xdr:rowOff>
    </xdr:to>
    <xdr:sp macro="" textlink="">
      <xdr:nvSpPr>
        <xdr:cNvPr id="91" name="Additionszeichen 90">
          <a:extLst>
            <a:ext uri="{FF2B5EF4-FFF2-40B4-BE49-F238E27FC236}">
              <a16:creationId xmlns:a16="http://schemas.microsoft.com/office/drawing/2014/main" id="{00000000-0008-0000-0600-00005B000000}"/>
            </a:ext>
          </a:extLst>
        </xdr:cNvPr>
        <xdr:cNvSpPr/>
      </xdr:nvSpPr>
      <xdr:spPr>
        <a:xfrm>
          <a:off x="16373475" y="3419475"/>
          <a:ext cx="226695" cy="24955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23</xdr:row>
      <xdr:rowOff>114300</xdr:rowOff>
    </xdr:from>
    <xdr:to>
      <xdr:col>63</xdr:col>
      <xdr:colOff>516255</xdr:colOff>
      <xdr:row>25</xdr:row>
      <xdr:rowOff>72390</xdr:rowOff>
    </xdr:to>
    <xdr:sp macro="" textlink="">
      <xdr:nvSpPr>
        <xdr:cNvPr id="92" name="Additionszeichen 91">
          <a:extLst>
            <a:ext uri="{FF2B5EF4-FFF2-40B4-BE49-F238E27FC236}">
              <a16:creationId xmlns:a16="http://schemas.microsoft.com/office/drawing/2014/main" id="{00000000-0008-0000-0600-00005C000000}"/>
            </a:ext>
          </a:extLst>
        </xdr:cNvPr>
        <xdr:cNvSpPr/>
      </xdr:nvSpPr>
      <xdr:spPr>
        <a:xfrm>
          <a:off x="16369665" y="3619500"/>
          <a:ext cx="234315" cy="26289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25</xdr:row>
      <xdr:rowOff>17145</xdr:rowOff>
    </xdr:from>
    <xdr:to>
      <xdr:col>63</xdr:col>
      <xdr:colOff>512445</xdr:colOff>
      <xdr:row>26</xdr:row>
      <xdr:rowOff>133350</xdr:rowOff>
    </xdr:to>
    <xdr:sp macro="" textlink="">
      <xdr:nvSpPr>
        <xdr:cNvPr id="93" name="Additionszeichen 92">
          <a:extLst>
            <a:ext uri="{FF2B5EF4-FFF2-40B4-BE49-F238E27FC236}">
              <a16:creationId xmlns:a16="http://schemas.microsoft.com/office/drawing/2014/main" id="{00000000-0008-0000-0600-00005D000000}"/>
            </a:ext>
          </a:extLst>
        </xdr:cNvPr>
        <xdr:cNvSpPr/>
      </xdr:nvSpPr>
      <xdr:spPr>
        <a:xfrm>
          <a:off x="16373475" y="3827145"/>
          <a:ext cx="226695" cy="26098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26</xdr:row>
      <xdr:rowOff>91440</xdr:rowOff>
    </xdr:from>
    <xdr:to>
      <xdr:col>63</xdr:col>
      <xdr:colOff>516255</xdr:colOff>
      <xdr:row>28</xdr:row>
      <xdr:rowOff>53340</xdr:rowOff>
    </xdr:to>
    <xdr:sp macro="" textlink="">
      <xdr:nvSpPr>
        <xdr:cNvPr id="94" name="Additionszeichen 93">
          <a:extLst>
            <a:ext uri="{FF2B5EF4-FFF2-40B4-BE49-F238E27FC236}">
              <a16:creationId xmlns:a16="http://schemas.microsoft.com/office/drawing/2014/main" id="{00000000-0008-0000-0600-00005E000000}"/>
            </a:ext>
          </a:extLst>
        </xdr:cNvPr>
        <xdr:cNvSpPr/>
      </xdr:nvSpPr>
      <xdr:spPr>
        <a:xfrm>
          <a:off x="16369665" y="4044315"/>
          <a:ext cx="234315" cy="2667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28</xdr:row>
      <xdr:rowOff>15240</xdr:rowOff>
    </xdr:from>
    <xdr:to>
      <xdr:col>63</xdr:col>
      <xdr:colOff>516255</xdr:colOff>
      <xdr:row>29</xdr:row>
      <xdr:rowOff>91440</xdr:rowOff>
    </xdr:to>
    <xdr:sp macro="" textlink="">
      <xdr:nvSpPr>
        <xdr:cNvPr id="95" name="Additionszeichen 94">
          <a:extLst>
            <a:ext uri="{FF2B5EF4-FFF2-40B4-BE49-F238E27FC236}">
              <a16:creationId xmlns:a16="http://schemas.microsoft.com/office/drawing/2014/main" id="{00000000-0008-0000-0600-00005F000000}"/>
            </a:ext>
          </a:extLst>
        </xdr:cNvPr>
        <xdr:cNvSpPr/>
      </xdr:nvSpPr>
      <xdr:spPr>
        <a:xfrm>
          <a:off x="16369665" y="4272915"/>
          <a:ext cx="234315" cy="2286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29</xdr:row>
      <xdr:rowOff>36195</xdr:rowOff>
    </xdr:from>
    <xdr:to>
      <xdr:col>63</xdr:col>
      <xdr:colOff>512445</xdr:colOff>
      <xdr:row>30</xdr:row>
      <xdr:rowOff>135255</xdr:rowOff>
    </xdr:to>
    <xdr:sp macro="" textlink="">
      <xdr:nvSpPr>
        <xdr:cNvPr id="96" name="Additionszeichen 95">
          <a:extLst>
            <a:ext uri="{FF2B5EF4-FFF2-40B4-BE49-F238E27FC236}">
              <a16:creationId xmlns:a16="http://schemas.microsoft.com/office/drawing/2014/main" id="{00000000-0008-0000-0600-000060000000}"/>
            </a:ext>
          </a:extLst>
        </xdr:cNvPr>
        <xdr:cNvSpPr/>
      </xdr:nvSpPr>
      <xdr:spPr>
        <a:xfrm>
          <a:off x="16373475" y="4455795"/>
          <a:ext cx="226695" cy="26098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30</xdr:row>
      <xdr:rowOff>95250</xdr:rowOff>
    </xdr:from>
    <xdr:to>
      <xdr:col>63</xdr:col>
      <xdr:colOff>512445</xdr:colOff>
      <xdr:row>32</xdr:row>
      <xdr:rowOff>36195</xdr:rowOff>
    </xdr:to>
    <xdr:sp macro="" textlink="">
      <xdr:nvSpPr>
        <xdr:cNvPr id="97" name="Additionszeichen 96">
          <a:extLst>
            <a:ext uri="{FF2B5EF4-FFF2-40B4-BE49-F238E27FC236}">
              <a16:creationId xmlns:a16="http://schemas.microsoft.com/office/drawing/2014/main" id="{00000000-0008-0000-0600-000061000000}"/>
            </a:ext>
          </a:extLst>
        </xdr:cNvPr>
        <xdr:cNvSpPr/>
      </xdr:nvSpPr>
      <xdr:spPr>
        <a:xfrm>
          <a:off x="16373475" y="4667250"/>
          <a:ext cx="226695"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31</xdr:row>
      <xdr:rowOff>135255</xdr:rowOff>
    </xdr:from>
    <xdr:to>
      <xdr:col>63</xdr:col>
      <xdr:colOff>516255</xdr:colOff>
      <xdr:row>33</xdr:row>
      <xdr:rowOff>97155</xdr:rowOff>
    </xdr:to>
    <xdr:sp macro="" textlink="">
      <xdr:nvSpPr>
        <xdr:cNvPr id="98" name="Additionszeichen 97">
          <a:extLst>
            <a:ext uri="{FF2B5EF4-FFF2-40B4-BE49-F238E27FC236}">
              <a16:creationId xmlns:a16="http://schemas.microsoft.com/office/drawing/2014/main" id="{00000000-0008-0000-0600-000062000000}"/>
            </a:ext>
          </a:extLst>
        </xdr:cNvPr>
        <xdr:cNvSpPr/>
      </xdr:nvSpPr>
      <xdr:spPr>
        <a:xfrm>
          <a:off x="16369665" y="4869180"/>
          <a:ext cx="234315" cy="2667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33</xdr:row>
      <xdr:rowOff>57150</xdr:rowOff>
    </xdr:from>
    <xdr:to>
      <xdr:col>63</xdr:col>
      <xdr:colOff>512445</xdr:colOff>
      <xdr:row>34</xdr:row>
      <xdr:rowOff>133350</xdr:rowOff>
    </xdr:to>
    <xdr:sp macro="" textlink="">
      <xdr:nvSpPr>
        <xdr:cNvPr id="99" name="Additionszeichen 98">
          <a:extLst>
            <a:ext uri="{FF2B5EF4-FFF2-40B4-BE49-F238E27FC236}">
              <a16:creationId xmlns:a16="http://schemas.microsoft.com/office/drawing/2014/main" id="{00000000-0008-0000-0600-000063000000}"/>
            </a:ext>
          </a:extLst>
        </xdr:cNvPr>
        <xdr:cNvSpPr/>
      </xdr:nvSpPr>
      <xdr:spPr>
        <a:xfrm>
          <a:off x="16373475" y="5086350"/>
          <a:ext cx="226695" cy="2286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281940</xdr:colOff>
      <xdr:row>34</xdr:row>
      <xdr:rowOff>91440</xdr:rowOff>
    </xdr:from>
    <xdr:to>
      <xdr:col>63</xdr:col>
      <xdr:colOff>516255</xdr:colOff>
      <xdr:row>36</xdr:row>
      <xdr:rowOff>40005</xdr:rowOff>
    </xdr:to>
    <xdr:sp macro="" textlink="">
      <xdr:nvSpPr>
        <xdr:cNvPr id="100" name="Additionszeichen 99">
          <a:extLst>
            <a:ext uri="{FF2B5EF4-FFF2-40B4-BE49-F238E27FC236}">
              <a16:creationId xmlns:a16="http://schemas.microsoft.com/office/drawing/2014/main" id="{00000000-0008-0000-0600-000064000000}"/>
            </a:ext>
          </a:extLst>
        </xdr:cNvPr>
        <xdr:cNvSpPr/>
      </xdr:nvSpPr>
      <xdr:spPr>
        <a:xfrm>
          <a:off x="16369665" y="5263515"/>
          <a:ext cx="234315" cy="26289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285750</xdr:colOff>
      <xdr:row>35</xdr:row>
      <xdr:rowOff>133350</xdr:rowOff>
    </xdr:from>
    <xdr:to>
      <xdr:col>63</xdr:col>
      <xdr:colOff>512445</xdr:colOff>
      <xdr:row>37</xdr:row>
      <xdr:rowOff>74295</xdr:rowOff>
    </xdr:to>
    <xdr:sp macro="" textlink="">
      <xdr:nvSpPr>
        <xdr:cNvPr id="101" name="Additionszeichen 100">
          <a:extLst>
            <a:ext uri="{FF2B5EF4-FFF2-40B4-BE49-F238E27FC236}">
              <a16:creationId xmlns:a16="http://schemas.microsoft.com/office/drawing/2014/main" id="{00000000-0008-0000-0600-000065000000}"/>
            </a:ext>
          </a:extLst>
        </xdr:cNvPr>
        <xdr:cNvSpPr/>
      </xdr:nvSpPr>
      <xdr:spPr>
        <a:xfrm>
          <a:off x="16373475" y="5467350"/>
          <a:ext cx="226695"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xdr:from>
      <xdr:col>63</xdr:col>
      <xdr:colOff>190500</xdr:colOff>
      <xdr:row>19</xdr:row>
      <xdr:rowOff>38100</xdr:rowOff>
    </xdr:from>
    <xdr:to>
      <xdr:col>63</xdr:col>
      <xdr:colOff>428625</xdr:colOff>
      <xdr:row>20</xdr:row>
      <xdr:rowOff>114300</xdr:rowOff>
    </xdr:to>
    <xdr:sp macro="" textlink="">
      <xdr:nvSpPr>
        <xdr:cNvPr id="103" name="Additionszeichen 102">
          <a:extLst>
            <a:ext uri="{FF2B5EF4-FFF2-40B4-BE49-F238E27FC236}">
              <a16:creationId xmlns:a16="http://schemas.microsoft.com/office/drawing/2014/main" id="{00000000-0008-0000-0600-000067000000}"/>
            </a:ext>
          </a:extLst>
        </xdr:cNvPr>
        <xdr:cNvSpPr>
          <a:spLocks noChangeAspect="1"/>
        </xdr:cNvSpPr>
      </xdr:nvSpPr>
      <xdr:spPr>
        <a:xfrm>
          <a:off x="16278225" y="2933700"/>
          <a:ext cx="238125" cy="2286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xdr:twoCellAnchor>
  <xdr:twoCellAnchor editAs="absolute">
    <xdr:from>
      <xdr:col>62</xdr:col>
      <xdr:colOff>320040</xdr:colOff>
      <xdr:row>28</xdr:row>
      <xdr:rowOff>129541</xdr:rowOff>
    </xdr:from>
    <xdr:to>
      <xdr:col>62</xdr:col>
      <xdr:colOff>512445</xdr:colOff>
      <xdr:row>30</xdr:row>
      <xdr:rowOff>56062</xdr:rowOff>
    </xdr:to>
    <xdr:sp macro="" textlink="">
      <xdr:nvSpPr>
        <xdr:cNvPr id="107" name="Kreis: nicht ausgefüllt 106">
          <a:extLst>
            <a:ext uri="{FF2B5EF4-FFF2-40B4-BE49-F238E27FC236}">
              <a16:creationId xmlns:a16="http://schemas.microsoft.com/office/drawing/2014/main" id="{00000000-0008-0000-0600-00006B000000}"/>
            </a:ext>
          </a:extLst>
        </xdr:cNvPr>
        <xdr:cNvSpPr>
          <a:spLocks/>
        </xdr:cNvSpPr>
      </xdr:nvSpPr>
      <xdr:spPr>
        <a:xfrm>
          <a:off x="15777754" y="4347755"/>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323852</xdr:colOff>
      <xdr:row>21</xdr:row>
      <xdr:rowOff>53341</xdr:rowOff>
    </xdr:from>
    <xdr:to>
      <xdr:col>62</xdr:col>
      <xdr:colOff>514352</xdr:colOff>
      <xdr:row>22</xdr:row>
      <xdr:rowOff>129541</xdr:rowOff>
    </xdr:to>
    <xdr:sp macro="" textlink="">
      <xdr:nvSpPr>
        <xdr:cNvPr id="109" name="Kreis: nicht ausgefüllt 108">
          <a:extLst>
            <a:ext uri="{FF2B5EF4-FFF2-40B4-BE49-F238E27FC236}">
              <a16:creationId xmlns:a16="http://schemas.microsoft.com/office/drawing/2014/main" id="{00000000-0008-0000-0600-00006D000000}"/>
            </a:ext>
          </a:extLst>
        </xdr:cNvPr>
        <xdr:cNvSpPr>
          <a:spLocks/>
        </xdr:cNvSpPr>
      </xdr:nvSpPr>
      <xdr:spPr>
        <a:xfrm>
          <a:off x="15781566" y="3223805"/>
          <a:ext cx="190500" cy="225879"/>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xdr:from>
      <xdr:col>63</xdr:col>
      <xdr:colOff>211455</xdr:colOff>
      <xdr:row>17</xdr:row>
      <xdr:rowOff>17145</xdr:rowOff>
    </xdr:from>
    <xdr:to>
      <xdr:col>63</xdr:col>
      <xdr:colOff>419100</xdr:colOff>
      <xdr:row>18</xdr:row>
      <xdr:rowOff>93345</xdr:rowOff>
    </xdr:to>
    <xdr:sp macro="" textlink="">
      <xdr:nvSpPr>
        <xdr:cNvPr id="111" name="Kreis: nicht ausgefüllt 110">
          <a:extLst>
            <a:ext uri="{FF2B5EF4-FFF2-40B4-BE49-F238E27FC236}">
              <a16:creationId xmlns:a16="http://schemas.microsoft.com/office/drawing/2014/main" id="{00000000-0008-0000-0600-00006F000000}"/>
            </a:ext>
          </a:extLst>
        </xdr:cNvPr>
        <xdr:cNvSpPr>
          <a:spLocks noChangeAspect="1"/>
        </xdr:cNvSpPr>
      </xdr:nvSpPr>
      <xdr:spPr>
        <a:xfrm>
          <a:off x="16299180" y="2607945"/>
          <a:ext cx="207645" cy="228600"/>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absolute">
    <xdr:from>
      <xdr:col>62</xdr:col>
      <xdr:colOff>323850</xdr:colOff>
      <xdr:row>23</xdr:row>
      <xdr:rowOff>21501</xdr:rowOff>
    </xdr:from>
    <xdr:to>
      <xdr:col>62</xdr:col>
      <xdr:colOff>516255</xdr:colOff>
      <xdr:row>24</xdr:row>
      <xdr:rowOff>93075</xdr:rowOff>
    </xdr:to>
    <xdr:sp macro="" textlink="">
      <xdr:nvSpPr>
        <xdr:cNvPr id="112" name="Kreis: nicht ausgefüllt 111">
          <a:extLst>
            <a:ext uri="{FF2B5EF4-FFF2-40B4-BE49-F238E27FC236}">
              <a16:creationId xmlns:a16="http://schemas.microsoft.com/office/drawing/2014/main" id="{00000000-0008-0000-0600-000070000000}"/>
            </a:ext>
          </a:extLst>
        </xdr:cNvPr>
        <xdr:cNvSpPr>
          <a:spLocks/>
        </xdr:cNvSpPr>
      </xdr:nvSpPr>
      <xdr:spPr>
        <a:xfrm>
          <a:off x="15781564" y="3491322"/>
          <a:ext cx="192405" cy="221253"/>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323850</xdr:colOff>
      <xdr:row>25</xdr:row>
      <xdr:rowOff>17418</xdr:rowOff>
    </xdr:from>
    <xdr:to>
      <xdr:col>62</xdr:col>
      <xdr:colOff>516255</xdr:colOff>
      <xdr:row>26</xdr:row>
      <xdr:rowOff>98517</xdr:rowOff>
    </xdr:to>
    <xdr:sp macro="" textlink="">
      <xdr:nvSpPr>
        <xdr:cNvPr id="113" name="Kreis: nicht ausgefüllt 112">
          <a:extLst>
            <a:ext uri="{FF2B5EF4-FFF2-40B4-BE49-F238E27FC236}">
              <a16:creationId xmlns:a16="http://schemas.microsoft.com/office/drawing/2014/main" id="{00000000-0008-0000-0600-000071000000}"/>
            </a:ext>
          </a:extLst>
        </xdr:cNvPr>
        <xdr:cNvSpPr>
          <a:spLocks/>
        </xdr:cNvSpPr>
      </xdr:nvSpPr>
      <xdr:spPr>
        <a:xfrm>
          <a:off x="15781564" y="3786597"/>
          <a:ext cx="192405" cy="223157"/>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320040</xdr:colOff>
      <xdr:row>27</xdr:row>
      <xdr:rowOff>19867</xdr:rowOff>
    </xdr:from>
    <xdr:to>
      <xdr:col>62</xdr:col>
      <xdr:colOff>512445</xdr:colOff>
      <xdr:row>28</xdr:row>
      <xdr:rowOff>96067</xdr:rowOff>
    </xdr:to>
    <xdr:sp macro="" textlink="">
      <xdr:nvSpPr>
        <xdr:cNvPr id="114" name="Kreis: nicht ausgefüllt 113">
          <a:extLst>
            <a:ext uri="{FF2B5EF4-FFF2-40B4-BE49-F238E27FC236}">
              <a16:creationId xmlns:a16="http://schemas.microsoft.com/office/drawing/2014/main" id="{00000000-0008-0000-0600-000072000000}"/>
            </a:ext>
          </a:extLst>
        </xdr:cNvPr>
        <xdr:cNvSpPr>
          <a:spLocks/>
        </xdr:cNvSpPr>
      </xdr:nvSpPr>
      <xdr:spPr>
        <a:xfrm>
          <a:off x="15777754" y="4076973"/>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320040</xdr:colOff>
      <xdr:row>30</xdr:row>
      <xdr:rowOff>91441</xdr:rowOff>
    </xdr:from>
    <xdr:to>
      <xdr:col>62</xdr:col>
      <xdr:colOff>512445</xdr:colOff>
      <xdr:row>32</xdr:row>
      <xdr:rowOff>17962</xdr:rowOff>
    </xdr:to>
    <xdr:sp macro="" textlink="">
      <xdr:nvSpPr>
        <xdr:cNvPr id="115" name="Kreis: nicht ausgefüllt 114">
          <a:extLst>
            <a:ext uri="{FF2B5EF4-FFF2-40B4-BE49-F238E27FC236}">
              <a16:creationId xmlns:a16="http://schemas.microsoft.com/office/drawing/2014/main" id="{00000000-0008-0000-0600-000073000000}"/>
            </a:ext>
          </a:extLst>
        </xdr:cNvPr>
        <xdr:cNvSpPr>
          <a:spLocks/>
        </xdr:cNvSpPr>
      </xdr:nvSpPr>
      <xdr:spPr>
        <a:xfrm>
          <a:off x="15777754" y="4609012"/>
          <a:ext cx="192405" cy="225879"/>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323850</xdr:colOff>
      <xdr:row>32</xdr:row>
      <xdr:rowOff>54429</xdr:rowOff>
    </xdr:from>
    <xdr:to>
      <xdr:col>62</xdr:col>
      <xdr:colOff>516255</xdr:colOff>
      <xdr:row>33</xdr:row>
      <xdr:rowOff>135528</xdr:rowOff>
    </xdr:to>
    <xdr:sp macro="" textlink="">
      <xdr:nvSpPr>
        <xdr:cNvPr id="116" name="Kreis: nicht ausgefüllt 115">
          <a:extLst>
            <a:ext uri="{FF2B5EF4-FFF2-40B4-BE49-F238E27FC236}">
              <a16:creationId xmlns:a16="http://schemas.microsoft.com/office/drawing/2014/main" id="{00000000-0008-0000-0600-000074000000}"/>
            </a:ext>
          </a:extLst>
        </xdr:cNvPr>
        <xdr:cNvSpPr>
          <a:spLocks/>
        </xdr:cNvSpPr>
      </xdr:nvSpPr>
      <xdr:spPr>
        <a:xfrm>
          <a:off x="15781564" y="4878978"/>
          <a:ext cx="192405" cy="223157"/>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323850</xdr:colOff>
      <xdr:row>34</xdr:row>
      <xdr:rowOff>18506</xdr:rowOff>
    </xdr:from>
    <xdr:to>
      <xdr:col>62</xdr:col>
      <xdr:colOff>516255</xdr:colOff>
      <xdr:row>35</xdr:row>
      <xdr:rowOff>94706</xdr:rowOff>
    </xdr:to>
    <xdr:sp macro="" textlink="">
      <xdr:nvSpPr>
        <xdr:cNvPr id="117" name="Kreis: nicht ausgefüllt 116">
          <a:extLst>
            <a:ext uri="{FF2B5EF4-FFF2-40B4-BE49-F238E27FC236}">
              <a16:creationId xmlns:a16="http://schemas.microsoft.com/office/drawing/2014/main" id="{00000000-0008-0000-0600-000075000000}"/>
            </a:ext>
          </a:extLst>
        </xdr:cNvPr>
        <xdr:cNvSpPr>
          <a:spLocks/>
        </xdr:cNvSpPr>
      </xdr:nvSpPr>
      <xdr:spPr>
        <a:xfrm>
          <a:off x="15781564" y="5150032"/>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62</xdr:col>
      <xdr:colOff>320040</xdr:colOff>
      <xdr:row>36</xdr:row>
      <xdr:rowOff>3538</xdr:rowOff>
    </xdr:from>
    <xdr:to>
      <xdr:col>62</xdr:col>
      <xdr:colOff>512445</xdr:colOff>
      <xdr:row>37</xdr:row>
      <xdr:rowOff>79738</xdr:rowOff>
    </xdr:to>
    <xdr:sp macro="" textlink="">
      <xdr:nvSpPr>
        <xdr:cNvPr id="118" name="Kreis: nicht ausgefüllt 117">
          <a:extLst>
            <a:ext uri="{FF2B5EF4-FFF2-40B4-BE49-F238E27FC236}">
              <a16:creationId xmlns:a16="http://schemas.microsoft.com/office/drawing/2014/main" id="{00000000-0008-0000-0600-000076000000}"/>
            </a:ext>
          </a:extLst>
        </xdr:cNvPr>
        <xdr:cNvSpPr>
          <a:spLocks/>
        </xdr:cNvSpPr>
      </xdr:nvSpPr>
      <xdr:spPr>
        <a:xfrm>
          <a:off x="15777754" y="5419181"/>
          <a:ext cx="192405" cy="225878"/>
        </a:xfrm>
        <a:prstGeom prst="donut">
          <a:avLst/>
        </a:prstGeom>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DE" sz="1100">
            <a:solidFill>
              <a:schemeClr val="tx1"/>
            </a:solidFill>
          </a:endParaRPr>
        </a:p>
      </xdr:txBody>
    </xdr:sp>
    <xdr:clientData fLocksWithSheet="0"/>
  </xdr:twoCellAnchor>
  <xdr:twoCellAnchor editAs="absolute">
    <xdr:from>
      <xdr:col>63</xdr:col>
      <xdr:colOff>40005</xdr:colOff>
      <xdr:row>21</xdr:row>
      <xdr:rowOff>36195</xdr:rowOff>
    </xdr:from>
    <xdr:to>
      <xdr:col>63</xdr:col>
      <xdr:colOff>281940</xdr:colOff>
      <xdr:row>22</xdr:row>
      <xdr:rowOff>135255</xdr:rowOff>
    </xdr:to>
    <xdr:sp macro="" textlink="">
      <xdr:nvSpPr>
        <xdr:cNvPr id="3" name="Additionszeichen 2">
          <a:extLst>
            <a:ext uri="{FF2B5EF4-FFF2-40B4-BE49-F238E27FC236}">
              <a16:creationId xmlns:a16="http://schemas.microsoft.com/office/drawing/2014/main" id="{00000000-0008-0000-0600-000003000000}"/>
            </a:ext>
          </a:extLst>
        </xdr:cNvPr>
        <xdr:cNvSpPr/>
      </xdr:nvSpPr>
      <xdr:spPr>
        <a:xfrm>
          <a:off x="16127730" y="3236595"/>
          <a:ext cx="241935" cy="25717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53340</xdr:colOff>
      <xdr:row>22</xdr:row>
      <xdr:rowOff>93345</xdr:rowOff>
    </xdr:from>
    <xdr:to>
      <xdr:col>63</xdr:col>
      <xdr:colOff>283845</xdr:colOff>
      <xdr:row>24</xdr:row>
      <xdr:rowOff>57150</xdr:rowOff>
    </xdr:to>
    <xdr:sp macro="" textlink="">
      <xdr:nvSpPr>
        <xdr:cNvPr id="4" name="Additionszeichen 3">
          <a:extLst>
            <a:ext uri="{FF2B5EF4-FFF2-40B4-BE49-F238E27FC236}">
              <a16:creationId xmlns:a16="http://schemas.microsoft.com/office/drawing/2014/main" id="{00000000-0008-0000-0600-000004000000}"/>
            </a:ext>
          </a:extLst>
        </xdr:cNvPr>
        <xdr:cNvSpPr/>
      </xdr:nvSpPr>
      <xdr:spPr>
        <a:xfrm>
          <a:off x="16135350" y="3457575"/>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53340</xdr:colOff>
      <xdr:row>23</xdr:row>
      <xdr:rowOff>148590</xdr:rowOff>
    </xdr:from>
    <xdr:to>
      <xdr:col>63</xdr:col>
      <xdr:colOff>283845</xdr:colOff>
      <xdr:row>25</xdr:row>
      <xdr:rowOff>97155</xdr:rowOff>
    </xdr:to>
    <xdr:sp macro="" textlink="">
      <xdr:nvSpPr>
        <xdr:cNvPr id="6" name="Additionszeichen 5">
          <a:extLst>
            <a:ext uri="{FF2B5EF4-FFF2-40B4-BE49-F238E27FC236}">
              <a16:creationId xmlns:a16="http://schemas.microsoft.com/office/drawing/2014/main" id="{00000000-0008-0000-0600-000006000000}"/>
            </a:ext>
          </a:extLst>
        </xdr:cNvPr>
        <xdr:cNvSpPr/>
      </xdr:nvSpPr>
      <xdr:spPr>
        <a:xfrm>
          <a:off x="16135350" y="3653790"/>
          <a:ext cx="243840" cy="25336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25</xdr:row>
      <xdr:rowOff>38100</xdr:rowOff>
    </xdr:from>
    <xdr:to>
      <xdr:col>63</xdr:col>
      <xdr:colOff>287655</xdr:colOff>
      <xdr:row>26</xdr:row>
      <xdr:rowOff>131445</xdr:rowOff>
    </xdr:to>
    <xdr:sp macro="" textlink="">
      <xdr:nvSpPr>
        <xdr:cNvPr id="7" name="Additionszeichen 6">
          <a:extLst>
            <a:ext uri="{FF2B5EF4-FFF2-40B4-BE49-F238E27FC236}">
              <a16:creationId xmlns:a16="http://schemas.microsoft.com/office/drawing/2014/main" id="{00000000-0008-0000-0600-000007000000}"/>
            </a:ext>
          </a:extLst>
        </xdr:cNvPr>
        <xdr:cNvSpPr/>
      </xdr:nvSpPr>
      <xdr:spPr>
        <a:xfrm>
          <a:off x="16150590" y="3848100"/>
          <a:ext cx="230505" cy="25717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26</xdr:row>
      <xdr:rowOff>93345</xdr:rowOff>
    </xdr:from>
    <xdr:to>
      <xdr:col>63</xdr:col>
      <xdr:colOff>287655</xdr:colOff>
      <xdr:row>28</xdr:row>
      <xdr:rowOff>55245</xdr:rowOff>
    </xdr:to>
    <xdr:sp macro="" textlink="">
      <xdr:nvSpPr>
        <xdr:cNvPr id="8" name="Additionszeichen 7">
          <a:extLst>
            <a:ext uri="{FF2B5EF4-FFF2-40B4-BE49-F238E27FC236}">
              <a16:creationId xmlns:a16="http://schemas.microsoft.com/office/drawing/2014/main" id="{00000000-0008-0000-0600-000008000000}"/>
            </a:ext>
          </a:extLst>
        </xdr:cNvPr>
        <xdr:cNvSpPr/>
      </xdr:nvSpPr>
      <xdr:spPr>
        <a:xfrm>
          <a:off x="16154400" y="4055745"/>
          <a:ext cx="230505" cy="26670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28</xdr:row>
      <xdr:rowOff>0</xdr:rowOff>
    </xdr:from>
    <xdr:to>
      <xdr:col>63</xdr:col>
      <xdr:colOff>302895</xdr:colOff>
      <xdr:row>29</xdr:row>
      <xdr:rowOff>93345</xdr:rowOff>
    </xdr:to>
    <xdr:sp macro="" textlink="">
      <xdr:nvSpPr>
        <xdr:cNvPr id="15" name="Additionszeichen 14">
          <a:extLst>
            <a:ext uri="{FF2B5EF4-FFF2-40B4-BE49-F238E27FC236}">
              <a16:creationId xmlns:a16="http://schemas.microsoft.com/office/drawing/2014/main" id="{00000000-0008-0000-0600-00000F000000}"/>
            </a:ext>
          </a:extLst>
        </xdr:cNvPr>
        <xdr:cNvSpPr/>
      </xdr:nvSpPr>
      <xdr:spPr>
        <a:xfrm>
          <a:off x="16154400" y="4267200"/>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55245</xdr:colOff>
      <xdr:row>29</xdr:row>
      <xdr:rowOff>57150</xdr:rowOff>
    </xdr:from>
    <xdr:to>
      <xdr:col>63</xdr:col>
      <xdr:colOff>302895</xdr:colOff>
      <xdr:row>30</xdr:row>
      <xdr:rowOff>131445</xdr:rowOff>
    </xdr:to>
    <xdr:sp macro="" textlink="">
      <xdr:nvSpPr>
        <xdr:cNvPr id="16" name="Additionszeichen 15">
          <a:extLst>
            <a:ext uri="{FF2B5EF4-FFF2-40B4-BE49-F238E27FC236}">
              <a16:creationId xmlns:a16="http://schemas.microsoft.com/office/drawing/2014/main" id="{00000000-0008-0000-0600-000010000000}"/>
            </a:ext>
          </a:extLst>
        </xdr:cNvPr>
        <xdr:cNvSpPr/>
      </xdr:nvSpPr>
      <xdr:spPr>
        <a:xfrm>
          <a:off x="16154400" y="4465320"/>
          <a:ext cx="236220" cy="24955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30</xdr:row>
      <xdr:rowOff>95250</xdr:rowOff>
    </xdr:from>
    <xdr:to>
      <xdr:col>63</xdr:col>
      <xdr:colOff>321945</xdr:colOff>
      <xdr:row>32</xdr:row>
      <xdr:rowOff>36195</xdr:rowOff>
    </xdr:to>
    <xdr:sp macro="" textlink="">
      <xdr:nvSpPr>
        <xdr:cNvPr id="17" name="Additionszeichen 16">
          <a:extLst>
            <a:ext uri="{FF2B5EF4-FFF2-40B4-BE49-F238E27FC236}">
              <a16:creationId xmlns:a16="http://schemas.microsoft.com/office/drawing/2014/main" id="{00000000-0008-0000-0600-000011000000}"/>
            </a:ext>
          </a:extLst>
        </xdr:cNvPr>
        <xdr:cNvSpPr/>
      </xdr:nvSpPr>
      <xdr:spPr>
        <a:xfrm>
          <a:off x="16173450" y="4667250"/>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31</xdr:row>
      <xdr:rowOff>131445</xdr:rowOff>
    </xdr:from>
    <xdr:to>
      <xdr:col>63</xdr:col>
      <xdr:colOff>321945</xdr:colOff>
      <xdr:row>33</xdr:row>
      <xdr:rowOff>95250</xdr:rowOff>
    </xdr:to>
    <xdr:sp macro="" textlink="">
      <xdr:nvSpPr>
        <xdr:cNvPr id="18" name="Additionszeichen 17">
          <a:extLst>
            <a:ext uri="{FF2B5EF4-FFF2-40B4-BE49-F238E27FC236}">
              <a16:creationId xmlns:a16="http://schemas.microsoft.com/office/drawing/2014/main" id="{00000000-0008-0000-0600-000012000000}"/>
            </a:ext>
          </a:extLst>
        </xdr:cNvPr>
        <xdr:cNvSpPr/>
      </xdr:nvSpPr>
      <xdr:spPr>
        <a:xfrm>
          <a:off x="16173450" y="4867275"/>
          <a:ext cx="236220" cy="24574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93345</xdr:colOff>
      <xdr:row>33</xdr:row>
      <xdr:rowOff>20955</xdr:rowOff>
    </xdr:from>
    <xdr:to>
      <xdr:col>63</xdr:col>
      <xdr:colOff>323850</xdr:colOff>
      <xdr:row>34</xdr:row>
      <xdr:rowOff>129540</xdr:rowOff>
    </xdr:to>
    <xdr:sp macro="" textlink="">
      <xdr:nvSpPr>
        <xdr:cNvPr id="19" name="Additionszeichen 18">
          <a:extLst>
            <a:ext uri="{FF2B5EF4-FFF2-40B4-BE49-F238E27FC236}">
              <a16:creationId xmlns:a16="http://schemas.microsoft.com/office/drawing/2014/main" id="{00000000-0008-0000-0600-000013000000}"/>
            </a:ext>
          </a:extLst>
        </xdr:cNvPr>
        <xdr:cNvSpPr/>
      </xdr:nvSpPr>
      <xdr:spPr>
        <a:xfrm>
          <a:off x="16181070" y="5055870"/>
          <a:ext cx="230505" cy="25527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34</xdr:row>
      <xdr:rowOff>72390</xdr:rowOff>
    </xdr:from>
    <xdr:to>
      <xdr:col>63</xdr:col>
      <xdr:colOff>325755</xdr:colOff>
      <xdr:row>36</xdr:row>
      <xdr:rowOff>20955</xdr:rowOff>
    </xdr:to>
    <xdr:sp macro="" textlink="">
      <xdr:nvSpPr>
        <xdr:cNvPr id="22" name="Additionszeichen 21">
          <a:extLst>
            <a:ext uri="{FF2B5EF4-FFF2-40B4-BE49-F238E27FC236}">
              <a16:creationId xmlns:a16="http://schemas.microsoft.com/office/drawing/2014/main" id="{00000000-0008-0000-0600-000016000000}"/>
            </a:ext>
          </a:extLst>
        </xdr:cNvPr>
        <xdr:cNvSpPr/>
      </xdr:nvSpPr>
      <xdr:spPr>
        <a:xfrm>
          <a:off x="16179165" y="5253990"/>
          <a:ext cx="234315" cy="259080"/>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twoCellAnchor editAs="absolute">
    <xdr:from>
      <xdr:col>63</xdr:col>
      <xdr:colOff>91440</xdr:colOff>
      <xdr:row>35</xdr:row>
      <xdr:rowOff>129540</xdr:rowOff>
    </xdr:from>
    <xdr:to>
      <xdr:col>63</xdr:col>
      <xdr:colOff>323850</xdr:colOff>
      <xdr:row>37</xdr:row>
      <xdr:rowOff>95250</xdr:rowOff>
    </xdr:to>
    <xdr:sp macro="" textlink="">
      <xdr:nvSpPr>
        <xdr:cNvPr id="23" name="Additionszeichen 22">
          <a:extLst>
            <a:ext uri="{FF2B5EF4-FFF2-40B4-BE49-F238E27FC236}">
              <a16:creationId xmlns:a16="http://schemas.microsoft.com/office/drawing/2014/main" id="{00000000-0008-0000-0600-000017000000}"/>
            </a:ext>
          </a:extLst>
        </xdr:cNvPr>
        <xdr:cNvSpPr/>
      </xdr:nvSpPr>
      <xdr:spPr>
        <a:xfrm>
          <a:off x="16173450" y="5457825"/>
          <a:ext cx="226695" cy="268605"/>
        </a:xfrm>
        <a:prstGeom prst="mathPlus">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2</xdr:col>
      <xdr:colOff>53413</xdr:colOff>
      <xdr:row>45</xdr:row>
      <xdr:rowOff>56164</xdr:rowOff>
    </xdr:from>
    <xdr:to>
      <xdr:col>7</xdr:col>
      <xdr:colOff>190603</xdr:colOff>
      <xdr:row>51</xdr:row>
      <xdr:rowOff>54897</xdr:rowOff>
    </xdr:to>
    <xdr:pic>
      <xdr:nvPicPr>
        <xdr:cNvPr id="2" name="Grafik 1">
          <a:extLst>
            <a:ext uri="{FF2B5EF4-FFF2-40B4-BE49-F238E27FC236}">
              <a16:creationId xmlns:a16="http://schemas.microsoft.com/office/drawing/2014/main" id="{8A8ABFE9-21A9-CF9E-96AB-72A4ED3F9C8E}"/>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7052112"/>
          <a:ext cx="1286759" cy="909060"/>
        </a:xfrm>
        <a:prstGeom prst="rect">
          <a:avLst/>
        </a:prstGeom>
      </xdr:spPr>
    </xdr:pic>
    <xdr:clientData/>
  </xdr:twoCellAnchor>
  <xdr:twoCellAnchor editAs="oneCell">
    <xdr:from>
      <xdr:col>2</xdr:col>
      <xdr:colOff>57223</xdr:colOff>
      <xdr:row>51</xdr:row>
      <xdr:rowOff>68255</xdr:rowOff>
    </xdr:from>
    <xdr:to>
      <xdr:col>7</xdr:col>
      <xdr:colOff>190603</xdr:colOff>
      <xdr:row>57</xdr:row>
      <xdr:rowOff>53653</xdr:rowOff>
    </xdr:to>
    <xdr:pic>
      <xdr:nvPicPr>
        <xdr:cNvPr id="12" name="Grafik 11">
          <a:extLst>
            <a:ext uri="{FF2B5EF4-FFF2-40B4-BE49-F238E27FC236}">
              <a16:creationId xmlns:a16="http://schemas.microsoft.com/office/drawing/2014/main" id="{FA679E23-03F8-41C9-8DFE-BFD679B380A9}"/>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7970721"/>
          <a:ext cx="1282949" cy="895725"/>
        </a:xfrm>
        <a:prstGeom prst="rect">
          <a:avLst/>
        </a:prstGeom>
      </xdr:spPr>
    </xdr:pic>
    <xdr:clientData/>
  </xdr:twoCellAnchor>
  <xdr:twoCellAnchor editAs="oneCell">
    <xdr:from>
      <xdr:col>2</xdr:col>
      <xdr:colOff>57223</xdr:colOff>
      <xdr:row>57</xdr:row>
      <xdr:rowOff>91120</xdr:rowOff>
    </xdr:from>
    <xdr:to>
      <xdr:col>7</xdr:col>
      <xdr:colOff>190603</xdr:colOff>
      <xdr:row>63</xdr:row>
      <xdr:rowOff>53657</xdr:rowOff>
    </xdr:to>
    <xdr:pic>
      <xdr:nvPicPr>
        <xdr:cNvPr id="14" name="Grafik 13">
          <a:extLst>
            <a:ext uri="{FF2B5EF4-FFF2-40B4-BE49-F238E27FC236}">
              <a16:creationId xmlns:a16="http://schemas.microsoft.com/office/drawing/2014/main" id="{9CFD8DB5-43B0-44E1-8E7C-FAAE9CAA319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8900103"/>
          <a:ext cx="1282949" cy="865245"/>
        </a:xfrm>
        <a:prstGeom prst="rect">
          <a:avLst/>
        </a:prstGeom>
      </xdr:spPr>
    </xdr:pic>
    <xdr:clientData/>
  </xdr:twoCellAnchor>
  <xdr:twoCellAnchor editAs="oneCell">
    <xdr:from>
      <xdr:col>2</xdr:col>
      <xdr:colOff>57223</xdr:colOff>
      <xdr:row>63</xdr:row>
      <xdr:rowOff>90074</xdr:rowOff>
    </xdr:from>
    <xdr:to>
      <xdr:col>7</xdr:col>
      <xdr:colOff>186793</xdr:colOff>
      <xdr:row>69</xdr:row>
      <xdr:rowOff>54517</xdr:rowOff>
    </xdr:to>
    <xdr:pic>
      <xdr:nvPicPr>
        <xdr:cNvPr id="16" name="Grafik 15">
          <a:extLst>
            <a:ext uri="{FF2B5EF4-FFF2-40B4-BE49-F238E27FC236}">
              <a16:creationId xmlns:a16="http://schemas.microsoft.com/office/drawing/2014/main" id="{4715652A-FB3E-4E5A-9C6A-B71AA53882D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9805574"/>
          <a:ext cx="1279139" cy="874770"/>
        </a:xfrm>
        <a:prstGeom prst="rect">
          <a:avLst/>
        </a:prstGeom>
      </xdr:spPr>
    </xdr:pic>
    <xdr:clientData/>
  </xdr:twoCellAnchor>
  <xdr:twoCellAnchor editAs="oneCell">
    <xdr:from>
      <xdr:col>2</xdr:col>
      <xdr:colOff>57223</xdr:colOff>
      <xdr:row>31</xdr:row>
      <xdr:rowOff>66532</xdr:rowOff>
    </xdr:from>
    <xdr:to>
      <xdr:col>7</xdr:col>
      <xdr:colOff>190603</xdr:colOff>
      <xdr:row>37</xdr:row>
      <xdr:rowOff>55739</xdr:rowOff>
    </xdr:to>
    <xdr:pic>
      <xdr:nvPicPr>
        <xdr:cNvPr id="18" name="Grafik 17">
          <a:extLst>
            <a:ext uri="{FF2B5EF4-FFF2-40B4-BE49-F238E27FC236}">
              <a16:creationId xmlns:a16="http://schemas.microsoft.com/office/drawing/2014/main" id="{DAFA2915-0BA3-41C6-B22D-CAE7D7DAD7BB}"/>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5413" y="5052377"/>
          <a:ext cx="1282949" cy="899535"/>
        </a:xfrm>
        <a:prstGeom prst="rect">
          <a:avLst/>
        </a:prstGeom>
      </xdr:spPr>
    </xdr:pic>
    <xdr:clientData/>
  </xdr:twoCellAnchor>
  <xdr:twoCellAnchor editAs="oneCell">
    <xdr:from>
      <xdr:col>2</xdr:col>
      <xdr:colOff>53413</xdr:colOff>
      <xdr:row>25</xdr:row>
      <xdr:rowOff>38346</xdr:rowOff>
    </xdr:from>
    <xdr:to>
      <xdr:col>7</xdr:col>
      <xdr:colOff>190603</xdr:colOff>
      <xdr:row>31</xdr:row>
      <xdr:rowOff>37079</xdr:rowOff>
    </xdr:to>
    <xdr:pic>
      <xdr:nvPicPr>
        <xdr:cNvPr id="20" name="Grafik 19">
          <a:extLst>
            <a:ext uri="{FF2B5EF4-FFF2-40B4-BE49-F238E27FC236}">
              <a16:creationId xmlns:a16="http://schemas.microsoft.com/office/drawing/2014/main" id="{A065E05C-7521-487E-8142-D5A55F89035D}"/>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4117674"/>
          <a:ext cx="1286759" cy="905250"/>
        </a:xfrm>
        <a:prstGeom prst="rect">
          <a:avLst/>
        </a:prstGeom>
      </xdr:spPr>
    </xdr:pic>
    <xdr:clientData/>
  </xdr:twoCellAnchor>
  <xdr:twoCellAnchor editAs="oneCell">
    <xdr:from>
      <xdr:col>2</xdr:col>
      <xdr:colOff>53413</xdr:colOff>
      <xdr:row>13</xdr:row>
      <xdr:rowOff>53380</xdr:rowOff>
    </xdr:from>
    <xdr:to>
      <xdr:col>7</xdr:col>
      <xdr:colOff>190603</xdr:colOff>
      <xdr:row>19</xdr:row>
      <xdr:rowOff>54018</xdr:rowOff>
    </xdr:to>
    <xdr:pic>
      <xdr:nvPicPr>
        <xdr:cNvPr id="21" name="Grafik 20">
          <a:extLst>
            <a:ext uri="{FF2B5EF4-FFF2-40B4-BE49-F238E27FC236}">
              <a16:creationId xmlns:a16="http://schemas.microsoft.com/office/drawing/2014/main" id="{ADEC848A-3027-4E5C-9D7D-066912CA978F}"/>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2319673"/>
          <a:ext cx="1286759" cy="903345"/>
        </a:xfrm>
        <a:prstGeom prst="rect">
          <a:avLst/>
        </a:prstGeom>
      </xdr:spPr>
    </xdr:pic>
    <xdr:clientData/>
  </xdr:twoCellAnchor>
  <xdr:twoCellAnchor editAs="oneCell">
    <xdr:from>
      <xdr:col>2</xdr:col>
      <xdr:colOff>53413</xdr:colOff>
      <xdr:row>19</xdr:row>
      <xdr:rowOff>66523</xdr:rowOff>
    </xdr:from>
    <xdr:to>
      <xdr:col>7</xdr:col>
      <xdr:colOff>190603</xdr:colOff>
      <xdr:row>25</xdr:row>
      <xdr:rowOff>59541</xdr:rowOff>
    </xdr:to>
    <xdr:pic>
      <xdr:nvPicPr>
        <xdr:cNvPr id="22" name="Grafik 21">
          <a:extLst>
            <a:ext uri="{FF2B5EF4-FFF2-40B4-BE49-F238E27FC236}">
              <a16:creationId xmlns:a16="http://schemas.microsoft.com/office/drawing/2014/main" id="{DE62CFB2-11C4-476A-8C6A-F75CAA039B12}"/>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23" b="89474" l="8122" r="95431">
                      <a14:foregroundMark x1="14213" y1="16541" x2="10660" y2="64662"/>
                      <a14:foregroundMark x1="8122" y1="19549" x2="9137" y2="63910"/>
                      <a14:foregroundMark x1="12183" y1="14286" x2="51777" y2="12030"/>
                      <a14:foregroundMark x1="51777" y1="12030" x2="95431" y2="18045"/>
                      <a14:foregroundMark x1="13706" y1="78195" x2="36548" y2="80451"/>
                      <a14:backgroundMark x1="62437" y1="82707" x2="82234" y2="77444"/>
                    </a14:backgroundRemoval>
                  </a14:imgEffect>
                </a14:imgLayer>
              </a14:imgProps>
            </a:ext>
          </a:extLst>
        </a:blip>
        <a:stretch>
          <a:fillRect/>
        </a:stretch>
      </xdr:blipFill>
      <xdr:spPr>
        <a:xfrm>
          <a:off x="1071603" y="3239333"/>
          <a:ext cx="1286759" cy="9071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22860</xdr:colOff>
          <xdr:row>4</xdr:row>
          <xdr:rowOff>60960</xdr:rowOff>
        </xdr:from>
        <xdr:to>
          <xdr:col>37</xdr:col>
          <xdr:colOff>784860</xdr:colOff>
          <xdr:row>5</xdr:row>
          <xdr:rowOff>99060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elektra-schalkau.de/fileadmin/user_upload/Information_zum_Teilestatus.xlsx"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drawing" Target="../drawings/drawing3.x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printerSettings" Target="../printerSettings/printerSettings3.bin"/><Relationship Id="rId1" Type="http://schemas.openxmlformats.org/officeDocument/2006/relationships/hyperlink" Target="https://www.elektra-schalkau.de/fileadmin/user_upload/Information_zum_Teilestatus.xlsx" TargetMode="External"/><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vmlDrawing" Target="../drawings/vmlDrawing3.vml"/><Relationship Id="rId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AEFA-C178-4EDF-8289-7C70E63C0D38}">
  <sheetPr codeName="Tabelle1">
    <tabColor theme="7" tint="0.79998168889431442"/>
    <pageSetUpPr fitToPage="1"/>
  </sheetPr>
  <dimension ref="B1:AS80"/>
  <sheetViews>
    <sheetView showGridLines="0" tabSelected="1" zoomScale="130" zoomScaleNormal="130" zoomScaleSheetLayoutView="130" workbookViewId="0">
      <selection activeCell="G3" sqref="G3:S3"/>
    </sheetView>
  </sheetViews>
  <sheetFormatPr baseColWidth="10" defaultColWidth="10.88671875" defaultRowHeight="14.4" x14ac:dyDescent="0.3"/>
  <cols>
    <col min="2" max="12" width="3.33203125" style="7" customWidth="1"/>
    <col min="13" max="13" width="4" style="7" customWidth="1"/>
    <col min="14" max="14" width="3.33203125" style="7" customWidth="1"/>
    <col min="15" max="15" width="6.33203125" style="7" customWidth="1"/>
    <col min="16" max="18" width="3.33203125" style="7" customWidth="1"/>
    <col min="19" max="19" width="4.77734375" style="7" customWidth="1"/>
    <col min="20" max="20" width="3.33203125" style="7" customWidth="1"/>
    <col min="21" max="21" width="2.88671875" style="7" customWidth="1"/>
    <col min="22" max="25" width="3.33203125" style="7" customWidth="1"/>
    <col min="26" max="26" width="4.6640625" style="7" customWidth="1"/>
    <col min="27" max="30" width="3.33203125" style="7" customWidth="1"/>
    <col min="31" max="31" width="2.6640625" style="7" customWidth="1"/>
    <col min="32" max="32" width="3.33203125" style="7" customWidth="1"/>
    <col min="33" max="33" width="3" style="7" customWidth="1"/>
    <col min="43" max="43" width="11.5546875" customWidth="1"/>
    <col min="44" max="44" width="11.5546875" style="72" hidden="1" customWidth="1"/>
    <col min="45" max="45" width="11.5546875" customWidth="1"/>
  </cols>
  <sheetData>
    <row r="1" spans="2:45" ht="12" customHeight="1" x14ac:dyDescent="0.3">
      <c r="B1" s="333" t="str">
        <f>HLOOKUP(Language!$B$2,Language!$C$12:$H$656,2)</f>
        <v>8D- Report</v>
      </c>
      <c r="C1" s="334"/>
      <c r="D1" s="334"/>
      <c r="E1" s="334"/>
      <c r="F1" s="334"/>
      <c r="G1" s="334"/>
      <c r="H1" s="334"/>
      <c r="I1" s="334"/>
      <c r="J1" s="334"/>
      <c r="K1" s="334"/>
      <c r="L1" s="334"/>
      <c r="M1" s="334"/>
      <c r="N1" s="334"/>
      <c r="O1" s="334"/>
      <c r="P1" s="334"/>
      <c r="Q1" s="334"/>
      <c r="R1" s="334"/>
      <c r="S1" s="334"/>
      <c r="T1" s="334"/>
      <c r="U1" s="334"/>
      <c r="V1" s="334"/>
      <c r="W1" s="334"/>
      <c r="X1" s="334"/>
      <c r="Y1" s="334"/>
      <c r="Z1" s="268" t="e" vm="1">
        <v>#VALUE!</v>
      </c>
      <c r="AA1" s="269"/>
      <c r="AB1" s="269"/>
      <c r="AC1" s="269"/>
      <c r="AD1" s="269"/>
      <c r="AE1" s="269"/>
      <c r="AF1" s="269"/>
      <c r="AG1" s="270"/>
    </row>
    <row r="2" spans="2:45" ht="12" customHeight="1" x14ac:dyDescent="0.3">
      <c r="B2" s="335"/>
      <c r="C2" s="336"/>
      <c r="D2" s="336"/>
      <c r="E2" s="336"/>
      <c r="F2" s="336"/>
      <c r="G2" s="336"/>
      <c r="H2" s="336"/>
      <c r="I2" s="336"/>
      <c r="J2" s="336"/>
      <c r="K2" s="336"/>
      <c r="L2" s="336"/>
      <c r="M2" s="336"/>
      <c r="N2" s="336"/>
      <c r="O2" s="336"/>
      <c r="P2" s="336"/>
      <c r="Q2" s="336"/>
      <c r="R2" s="336"/>
      <c r="S2" s="336"/>
      <c r="T2" s="336"/>
      <c r="U2" s="336"/>
      <c r="V2" s="336"/>
      <c r="W2" s="336"/>
      <c r="X2" s="336"/>
      <c r="Y2" s="336"/>
      <c r="Z2" s="271"/>
      <c r="AA2" s="272"/>
      <c r="AB2" s="272"/>
      <c r="AC2" s="272"/>
      <c r="AD2" s="272"/>
      <c r="AE2" s="272"/>
      <c r="AF2" s="272"/>
      <c r="AG2" s="273"/>
      <c r="AI2" s="362" t="str">
        <f>HLOOKUP(Language!$B$2,Language!$C$12:$H$656,3)</f>
        <v>Fields or text marked in red are required</v>
      </c>
      <c r="AJ2" s="363"/>
      <c r="AR2" s="73"/>
    </row>
    <row r="3" spans="2:45" ht="31.05" customHeight="1" x14ac:dyDescent="0.3">
      <c r="B3" s="337" t="str">
        <f>HLOOKUP(Language!$B$2,Language!$C$12:$H$656,8)</f>
        <v>Contact Person (Customer):</v>
      </c>
      <c r="C3" s="338"/>
      <c r="D3" s="338"/>
      <c r="E3" s="338"/>
      <c r="F3" s="339"/>
      <c r="G3" s="344"/>
      <c r="H3" s="345"/>
      <c r="I3" s="345"/>
      <c r="J3" s="345"/>
      <c r="K3" s="345"/>
      <c r="L3" s="345"/>
      <c r="M3" s="345"/>
      <c r="N3" s="345"/>
      <c r="O3" s="345"/>
      <c r="P3" s="345"/>
      <c r="Q3" s="345"/>
      <c r="R3" s="345"/>
      <c r="S3" s="345"/>
      <c r="T3" s="349" t="str">
        <f>HLOOKUP(Language!$B$2,Language!$C$12:$H$656,5)</f>
        <v>8D started on:</v>
      </c>
      <c r="U3" s="338"/>
      <c r="V3" s="339"/>
      <c r="W3" s="350"/>
      <c r="X3" s="350"/>
      <c r="Y3" s="351"/>
      <c r="Z3" s="271"/>
      <c r="AA3" s="272"/>
      <c r="AB3" s="272"/>
      <c r="AC3" s="272"/>
      <c r="AD3" s="272"/>
      <c r="AE3" s="272"/>
      <c r="AF3" s="272"/>
      <c r="AG3" s="273"/>
      <c r="AI3" s="364"/>
      <c r="AJ3" s="365"/>
      <c r="AR3" s="74" t="str">
        <f>IF($AR$4=TRUE,"Akzeptiert",IF($AR$5=TRUE,"Abgelehnt","Offen"))</f>
        <v>Offen</v>
      </c>
      <c r="AS3" s="70"/>
    </row>
    <row r="4" spans="2:45" ht="12" customHeight="1" x14ac:dyDescent="0.3">
      <c r="B4" s="340" t="str">
        <f>HLOOKUP(Language!$B$2,Language!$C$12:$H$656,7)</f>
        <v>Customer:</v>
      </c>
      <c r="C4" s="311"/>
      <c r="D4" s="311"/>
      <c r="E4" s="311"/>
      <c r="F4" s="312"/>
      <c r="G4" s="321"/>
      <c r="H4" s="322"/>
      <c r="I4" s="322"/>
      <c r="J4" s="322"/>
      <c r="K4" s="322"/>
      <c r="L4" s="327"/>
      <c r="M4" s="310" t="str">
        <f>HLOOKUP(Language!$B$2,Language!$C$12:$H$656,15)</f>
        <v>Supplier:</v>
      </c>
      <c r="N4" s="311"/>
      <c r="O4" s="311"/>
      <c r="P4" s="311"/>
      <c r="Q4" s="311"/>
      <c r="R4" s="311"/>
      <c r="S4" s="312"/>
      <c r="T4" s="321"/>
      <c r="U4" s="322"/>
      <c r="V4" s="322"/>
      <c r="W4" s="322"/>
      <c r="X4" s="322"/>
      <c r="Y4" s="323"/>
      <c r="Z4" s="250"/>
      <c r="AA4" s="274" t="str">
        <f>HLOOKUP(Language!$B$2,Language!$C$12:$H$656,6)</f>
        <v>ELS:840 01 04
EOT:4 1021 03-02T
PEL:100 02 03</v>
      </c>
      <c r="AB4" s="274"/>
      <c r="AC4" s="274"/>
      <c r="AD4" s="274"/>
      <c r="AE4" s="276" t="s">
        <v>616</v>
      </c>
      <c r="AF4" s="276"/>
      <c r="AG4" s="251"/>
      <c r="AR4" s="74" t="b">
        <v>0</v>
      </c>
      <c r="AS4" s="69"/>
    </row>
    <row r="5" spans="2:45" ht="21" customHeight="1" thickBot="1" x14ac:dyDescent="0.35">
      <c r="B5" s="341" t="str">
        <f>HLOOKUP(Language!$B$2,Language!$C$12:$H$656,9)</f>
        <v>Complaint number (Customer):</v>
      </c>
      <c r="C5" s="342"/>
      <c r="D5" s="342"/>
      <c r="E5" s="342"/>
      <c r="F5" s="343"/>
      <c r="G5" s="328"/>
      <c r="H5" s="329"/>
      <c r="I5" s="329"/>
      <c r="J5" s="329"/>
      <c r="K5" s="329"/>
      <c r="L5" s="330"/>
      <c r="M5" s="324" t="str">
        <f>HLOOKUP(Language!$B$2,Language!$C$12:$H$656,14)</f>
        <v>Complaint number (Supplier):</v>
      </c>
      <c r="N5" s="325"/>
      <c r="O5" s="325"/>
      <c r="P5" s="325"/>
      <c r="Q5" s="325"/>
      <c r="R5" s="325"/>
      <c r="S5" s="326"/>
      <c r="T5" s="328"/>
      <c r="U5" s="329"/>
      <c r="V5" s="329"/>
      <c r="W5" s="329"/>
      <c r="X5" s="329"/>
      <c r="Y5" s="331"/>
      <c r="Z5" s="249"/>
      <c r="AA5" s="275"/>
      <c r="AB5" s="275"/>
      <c r="AC5" s="275"/>
      <c r="AD5" s="275"/>
      <c r="AE5" s="277"/>
      <c r="AF5" s="277"/>
      <c r="AG5" s="97"/>
      <c r="AR5" s="74" t="b">
        <v>0</v>
      </c>
      <c r="AS5" s="69"/>
    </row>
    <row r="6" spans="2:45" ht="12" customHeight="1" x14ac:dyDescent="0.3">
      <c r="B6" s="1"/>
      <c r="C6" s="2"/>
      <c r="D6" s="2"/>
      <c r="E6" s="2"/>
      <c r="F6" s="2"/>
      <c r="G6" s="2"/>
      <c r="H6" s="2"/>
      <c r="I6" s="2"/>
      <c r="J6" s="2"/>
      <c r="K6" s="2"/>
      <c r="L6" s="2"/>
      <c r="M6" s="2"/>
      <c r="N6" s="2"/>
      <c r="O6" s="2"/>
      <c r="P6" s="2"/>
      <c r="Q6" s="2"/>
      <c r="R6" s="2"/>
      <c r="S6" s="2"/>
      <c r="T6" s="2"/>
      <c r="U6" s="2"/>
      <c r="V6" s="2"/>
      <c r="W6" s="2"/>
      <c r="X6" s="2"/>
      <c r="Y6" s="2"/>
      <c r="Z6" s="348"/>
      <c r="AA6" s="348"/>
      <c r="AB6" s="348"/>
      <c r="AC6" s="348"/>
      <c r="AD6" s="269" t="str">
        <f>Language!$I$31</f>
        <v>English</v>
      </c>
      <c r="AE6" s="269"/>
      <c r="AF6" s="269"/>
      <c r="AG6" s="3" t="s">
        <v>47</v>
      </c>
      <c r="AI6" s="355" t="str">
        <f>HLOOKUP(Language!$B$2,Language!$C$12:$H$656,17)</f>
        <v>If additional space is required for the extension of the 8D- report</v>
      </c>
      <c r="AJ6" s="356"/>
      <c r="AK6" s="357"/>
      <c r="AR6" s="75" t="str">
        <f>IF($AR$4=TRUE,"Accepted",IF($AR$5=TRUE,"Rejected","in progress"))</f>
        <v>in progress</v>
      </c>
      <c r="AS6" s="70"/>
    </row>
    <row r="7" spans="2:45" ht="12" customHeight="1" x14ac:dyDescent="0.3">
      <c r="B7" s="4"/>
      <c r="C7" s="305" t="str">
        <f>HLOOKUP(Language!$B$2,Language!$C$12:$H$656,10)</f>
        <v>Material name:</v>
      </c>
      <c r="D7" s="305"/>
      <c r="E7" s="305"/>
      <c r="F7" s="305"/>
      <c r="G7" s="305"/>
      <c r="H7" s="306"/>
      <c r="I7" s="306"/>
      <c r="J7" s="306"/>
      <c r="K7" s="306"/>
      <c r="L7" s="306"/>
      <c r="M7" s="306"/>
      <c r="N7" s="306"/>
      <c r="O7" s="306"/>
      <c r="P7" s="306"/>
      <c r="Q7" s="306"/>
      <c r="R7" s="305" t="str">
        <f>HLOOKUP(Language!$B$2,Language!$C$12:$H$656,12)</f>
        <v>Drawing no.</v>
      </c>
      <c r="S7" s="305"/>
      <c r="T7" s="305"/>
      <c r="U7" s="305"/>
      <c r="V7" s="305"/>
      <c r="W7" s="306"/>
      <c r="X7" s="306"/>
      <c r="Y7" s="306"/>
      <c r="Z7" s="306"/>
      <c r="AA7" s="306"/>
      <c r="AB7" s="306"/>
      <c r="AC7" s="306"/>
      <c r="AD7" s="306"/>
      <c r="AE7" s="306"/>
      <c r="AF7" s="306"/>
      <c r="AG7" s="5"/>
      <c r="AI7" s="358"/>
      <c r="AJ7" s="359"/>
      <c r="AK7" s="360"/>
      <c r="AR7" s="76" t="str">
        <f>IF($AR$4=TRUE,"Zaakceptowany",IF($AR$5=TRUE,"Odrzucony","w opracowanie"))</f>
        <v>w opracowanie</v>
      </c>
      <c r="AS7" s="70"/>
    </row>
    <row r="8" spans="2:45" ht="12" customHeight="1" x14ac:dyDescent="0.3">
      <c r="B8" s="4"/>
      <c r="C8" s="305" t="str">
        <f>HLOOKUP(Language!$B$2,Language!$C$12:$H$656,11)</f>
        <v>Material number:</v>
      </c>
      <c r="D8" s="305"/>
      <c r="E8" s="305"/>
      <c r="F8" s="305"/>
      <c r="G8" s="305"/>
      <c r="H8" s="306"/>
      <c r="I8" s="306"/>
      <c r="J8" s="306"/>
      <c r="K8" s="306"/>
      <c r="L8" s="306"/>
      <c r="M8" s="306"/>
      <c r="N8" s="306"/>
      <c r="O8" s="306"/>
      <c r="P8" s="306"/>
      <c r="Q8" s="306"/>
      <c r="R8" s="305" t="str">
        <f>HLOOKUP(Language!$B$2,Language!$C$12:$H$656,13)</f>
        <v>Drawing revision</v>
      </c>
      <c r="S8" s="305"/>
      <c r="T8" s="305"/>
      <c r="U8" s="305"/>
      <c r="V8" s="305"/>
      <c r="W8" s="306"/>
      <c r="X8" s="306"/>
      <c r="Y8" s="306"/>
      <c r="Z8" s="306"/>
      <c r="AA8" s="306"/>
      <c r="AB8" s="306"/>
      <c r="AC8" s="306"/>
      <c r="AD8" s="306"/>
      <c r="AE8" s="306"/>
      <c r="AF8" s="306"/>
      <c r="AG8" s="5"/>
      <c r="AI8" s="358"/>
      <c r="AJ8" s="359"/>
      <c r="AK8" s="360"/>
      <c r="AR8" s="76"/>
      <c r="AS8" s="70"/>
    </row>
    <row r="9" spans="2:45" ht="17.399999999999999" customHeight="1" thickBot="1" x14ac:dyDescent="0.35">
      <c r="B9" s="39"/>
      <c r="C9" s="38"/>
      <c r="D9" s="38"/>
      <c r="E9" s="40"/>
      <c r="F9" s="40"/>
      <c r="G9" s="38"/>
      <c r="H9" s="38"/>
      <c r="I9" s="40"/>
      <c r="J9" s="40"/>
      <c r="K9" s="40"/>
      <c r="L9" s="40"/>
      <c r="M9" s="40"/>
      <c r="N9" s="40"/>
      <c r="O9" s="319" t="str">
        <f>HLOOKUP(Language!$B$2,Language!$C$12:$H$656,16)</f>
        <v>Claim:</v>
      </c>
      <c r="P9" s="319"/>
      <c r="Q9" s="319"/>
      <c r="R9" s="346" t="str">
        <f>IF($AD$6="Deutsch",$AR$3,IF($AD$6="English",$AR$6,IF($AD$6="Polski",$AR$7)))</f>
        <v>in progress</v>
      </c>
      <c r="S9" s="346"/>
      <c r="T9" s="346"/>
      <c r="U9" s="346"/>
      <c r="V9" s="67"/>
      <c r="W9" s="67"/>
      <c r="X9" s="67"/>
      <c r="Y9" s="38"/>
      <c r="Z9" s="38"/>
      <c r="AA9" s="38"/>
      <c r="AB9" s="38"/>
      <c r="AC9" s="38"/>
      <c r="AD9" s="38"/>
      <c r="AE9" s="38"/>
      <c r="AF9" s="38"/>
      <c r="AG9" s="49"/>
      <c r="AI9" s="134" t="s">
        <v>200</v>
      </c>
      <c r="AJ9" s="138" t="s">
        <v>201</v>
      </c>
      <c r="AK9" s="135" t="s">
        <v>47</v>
      </c>
      <c r="AR9" s="75" t="b">
        <v>0</v>
      </c>
      <c r="AS9" s="71"/>
    </row>
    <row r="10" spans="2:45" ht="12" customHeight="1" thickBot="1" x14ac:dyDescent="0.35">
      <c r="B10" s="64"/>
      <c r="C10" s="65"/>
      <c r="D10" s="65"/>
      <c r="E10" s="65"/>
      <c r="F10" s="65"/>
      <c r="G10" s="65"/>
      <c r="H10" s="66"/>
      <c r="I10" s="66"/>
      <c r="J10" s="66"/>
      <c r="L10" s="66"/>
      <c r="O10" s="320"/>
      <c r="P10" s="320"/>
      <c r="Q10" s="320"/>
      <c r="R10" s="347"/>
      <c r="S10" s="347"/>
      <c r="T10" s="347"/>
      <c r="U10" s="347"/>
      <c r="Y10" s="66"/>
      <c r="Z10" s="24"/>
      <c r="AA10" s="24"/>
      <c r="AB10" s="24"/>
      <c r="AC10" s="24"/>
      <c r="AD10" s="66"/>
      <c r="AE10" s="66"/>
      <c r="AF10" s="66"/>
      <c r="AG10" s="68"/>
      <c r="AR10" s="75" t="b">
        <f>AND($AR$9=FALSE,$AR$12=FALSE)</f>
        <v>1</v>
      </c>
      <c r="AS10" s="71"/>
    </row>
    <row r="11" spans="2:45" ht="15" customHeight="1" thickBot="1" x14ac:dyDescent="0.35">
      <c r="B11" s="302" t="str">
        <f>HLOOKUP(Language!$B$2,Language!$C$12:$H$656,26)</f>
        <v>D1 - Team</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4"/>
      <c r="AI11" s="278" t="str">
        <f>HLOOKUP(Language!$B$2,Language!$C$12:$H$656,4)</f>
        <v>Select your language:</v>
      </c>
      <c r="AJ11" s="279"/>
      <c r="AK11" s="280"/>
      <c r="AR11" s="75" t="b">
        <f>AND($AR$9=TRUE,$AR$12=TRUE)</f>
        <v>0</v>
      </c>
      <c r="AS11" s="70"/>
    </row>
    <row r="12" spans="2:45" ht="12" customHeight="1" thickBot="1" x14ac:dyDescent="0.35">
      <c r="B12" s="4"/>
      <c r="C12" s="9" t="str">
        <f>HLOOKUP(Language!$B$2,Language!$C$12:$H$656,27)</f>
        <v>8D - Team</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5"/>
      <c r="AI12" s="281"/>
      <c r="AJ12" s="282"/>
      <c r="AK12" s="283"/>
      <c r="AR12" s="75" t="b">
        <v>0</v>
      </c>
      <c r="AS12" s="71"/>
    </row>
    <row r="13" spans="2:45" ht="12" customHeight="1" x14ac:dyDescent="0.3">
      <c r="B13" s="4"/>
      <c r="C13" s="307" t="str">
        <f>HLOOKUP(Language!$B$2,Language!$C$12:$H$656,28)</f>
        <v>Name (Header)</v>
      </c>
      <c r="D13" s="307"/>
      <c r="E13" s="307"/>
      <c r="F13" s="307"/>
      <c r="G13" s="307"/>
      <c r="H13" s="307"/>
      <c r="I13" s="307"/>
      <c r="J13" s="307"/>
      <c r="K13" s="307" t="str">
        <f>HLOOKUP(Language!$B$2,Language!$C$12:$H$656,30)</f>
        <v>Position</v>
      </c>
      <c r="L13" s="307"/>
      <c r="M13" s="307"/>
      <c r="N13" s="307"/>
      <c r="O13" s="307"/>
      <c r="P13" s="307" t="str">
        <f>HLOOKUP(Language!$B$2,Language!$C$12:$H$656,31)</f>
        <v>Phone</v>
      </c>
      <c r="Q13" s="307"/>
      <c r="R13" s="307"/>
      <c r="S13" s="307"/>
      <c r="T13" s="307"/>
      <c r="U13" s="307" t="s">
        <v>44</v>
      </c>
      <c r="V13" s="307"/>
      <c r="W13" s="307"/>
      <c r="X13" s="307"/>
      <c r="Y13" s="307"/>
      <c r="Z13" s="307"/>
      <c r="AA13" s="307"/>
      <c r="AB13" s="307"/>
      <c r="AC13" s="307"/>
      <c r="AD13" s="307"/>
      <c r="AE13" s="307"/>
      <c r="AF13" s="307"/>
      <c r="AG13" s="5"/>
      <c r="AR13" s="73"/>
    </row>
    <row r="14" spans="2:45" ht="12" customHeight="1" x14ac:dyDescent="0.3">
      <c r="B14" s="4"/>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5"/>
      <c r="AJ14" t="s">
        <v>574</v>
      </c>
    </row>
    <row r="15" spans="2:45" ht="21.6" customHeight="1" x14ac:dyDescent="0.3">
      <c r="B15" s="4"/>
      <c r="C15" s="332" t="str">
        <f>HLOOKUP(Language!$B$2,Language!$C$12:$H$656,29)</f>
        <v>Name (Problem solving team)</v>
      </c>
      <c r="D15" s="332"/>
      <c r="E15" s="332"/>
      <c r="F15" s="332"/>
      <c r="G15" s="332"/>
      <c r="H15" s="332"/>
      <c r="I15" s="332"/>
      <c r="J15" s="332"/>
      <c r="K15" s="307" t="str">
        <f>HLOOKUP(Language!$B$2,Language!$C$12:$H$656,30)</f>
        <v>Position</v>
      </c>
      <c r="L15" s="307"/>
      <c r="M15" s="307"/>
      <c r="N15" s="307"/>
      <c r="O15" s="307"/>
      <c r="P15" s="307" t="str">
        <f>HLOOKUP(Language!$B$2,Language!$C$12:$H$656,31)</f>
        <v>Phone</v>
      </c>
      <c r="Q15" s="307"/>
      <c r="R15" s="307"/>
      <c r="S15" s="307"/>
      <c r="T15" s="307"/>
      <c r="U15" s="307" t="s">
        <v>44</v>
      </c>
      <c r="V15" s="307"/>
      <c r="W15" s="307"/>
      <c r="X15" s="307"/>
      <c r="Y15" s="307"/>
      <c r="Z15" s="307"/>
      <c r="AA15" s="307"/>
      <c r="AB15" s="307"/>
      <c r="AC15" s="307"/>
      <c r="AD15" s="307"/>
      <c r="AE15" s="307"/>
      <c r="AF15" s="307"/>
      <c r="AG15" s="5"/>
    </row>
    <row r="16" spans="2:45" ht="12" customHeight="1" x14ac:dyDescent="0.3">
      <c r="B16" s="4"/>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5"/>
    </row>
    <row r="17" spans="2:33" ht="12" customHeight="1" x14ac:dyDescent="0.3">
      <c r="B17" s="4"/>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5"/>
    </row>
    <row r="18" spans="2:33" ht="12" customHeight="1" x14ac:dyDescent="0.3">
      <c r="B18" s="4"/>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5"/>
    </row>
    <row r="19" spans="2:33" ht="12" customHeight="1" x14ac:dyDescent="0.3">
      <c r="B19" s="4"/>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5"/>
    </row>
    <row r="20" spans="2:33" ht="12" customHeight="1" x14ac:dyDescent="0.3">
      <c r="B20" s="4"/>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5"/>
    </row>
    <row r="21" spans="2:33" ht="12" customHeight="1" thickBot="1" x14ac:dyDescent="0.35">
      <c r="B21" s="4"/>
      <c r="C21" s="272"/>
      <c r="D21" s="272"/>
      <c r="E21" s="272"/>
      <c r="F21" s="272"/>
      <c r="G21" s="272"/>
      <c r="H21" s="272"/>
      <c r="I21" s="272"/>
      <c r="J21" s="272"/>
      <c r="K21" s="6"/>
      <c r="L21" s="6"/>
      <c r="M21" s="6"/>
      <c r="N21" s="6"/>
      <c r="O21" s="6"/>
      <c r="P21" s="6"/>
      <c r="Q21" s="6"/>
      <c r="R21" s="6"/>
      <c r="S21" s="6"/>
      <c r="T21" s="6"/>
      <c r="U21" s="6"/>
      <c r="V21" s="6"/>
      <c r="W21" s="6"/>
      <c r="X21" s="6"/>
      <c r="Y21" s="6"/>
      <c r="Z21" s="6"/>
      <c r="AA21" s="6"/>
      <c r="AB21" s="6"/>
      <c r="AC21" s="6"/>
      <c r="AD21" s="6"/>
      <c r="AE21" s="6"/>
      <c r="AF21" s="6"/>
      <c r="AG21" s="5"/>
    </row>
    <row r="22" spans="2:33" ht="15" customHeight="1" thickBot="1" x14ac:dyDescent="0.35">
      <c r="B22" s="302" t="str">
        <f>HLOOKUP(Language!$B$2,Language!$C$12:$H$656,34)</f>
        <v>D2 - Problem description</v>
      </c>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4"/>
    </row>
    <row r="23" spans="2:33" ht="12" customHeight="1" x14ac:dyDescent="0.3">
      <c r="B23" s="4"/>
      <c r="D23" s="10"/>
      <c r="E23" s="10"/>
      <c r="F23" s="10"/>
      <c r="G23" s="10"/>
      <c r="H23" s="10"/>
      <c r="I23" s="10"/>
      <c r="J23" s="10"/>
      <c r="K23" s="10"/>
      <c r="L23" s="10"/>
      <c r="M23" s="6"/>
      <c r="N23" s="6"/>
      <c r="O23" s="6"/>
      <c r="P23" s="6"/>
      <c r="Q23" s="6"/>
      <c r="R23" s="6"/>
      <c r="S23" s="6"/>
      <c r="T23" s="6"/>
      <c r="U23" s="6"/>
      <c r="V23" s="6"/>
      <c r="W23" s="6"/>
      <c r="X23" s="6"/>
      <c r="Y23" s="6"/>
      <c r="Z23" s="6"/>
      <c r="AA23" s="6"/>
      <c r="AB23" s="6"/>
      <c r="AC23" s="6"/>
      <c r="AD23" s="6"/>
      <c r="AE23" s="6"/>
      <c r="AF23" s="6"/>
      <c r="AG23" s="5"/>
    </row>
    <row r="24" spans="2:33" ht="12" customHeight="1" x14ac:dyDescent="0.3">
      <c r="B24" s="4"/>
      <c r="C24" s="366" t="str">
        <f>HLOOKUP(Language!$B$2,Language!$C$12:$H$656,35)</f>
        <v>Describe the problem fact based</v>
      </c>
      <c r="D24" s="367"/>
      <c r="E24" s="367"/>
      <c r="F24" s="367"/>
      <c r="G24" s="367"/>
      <c r="H24" s="367"/>
      <c r="I24" s="367"/>
      <c r="J24" s="367"/>
      <c r="K24" s="367"/>
      <c r="L24" s="368"/>
      <c r="M24" s="11"/>
      <c r="N24" s="366" t="str">
        <f>HLOOKUP(Language!$B$2,Language!$C$12:$H$656,36)</f>
        <v>Why is it a problem?</v>
      </c>
      <c r="O24" s="367"/>
      <c r="P24" s="367"/>
      <c r="Q24" s="367"/>
      <c r="R24" s="367"/>
      <c r="S24" s="367"/>
      <c r="T24" s="367"/>
      <c r="U24" s="367"/>
      <c r="V24" s="368"/>
      <c r="W24" s="12"/>
      <c r="X24" s="366" t="str">
        <f>HLOOKUP(Language!$B$2,Language!$C$12:$H$656,39)</f>
        <v>How many parts are affected?</v>
      </c>
      <c r="Y24" s="367"/>
      <c r="Z24" s="367"/>
      <c r="AA24" s="367"/>
      <c r="AB24" s="367"/>
      <c r="AC24" s="367"/>
      <c r="AD24" s="367"/>
      <c r="AE24" s="367"/>
      <c r="AF24" s="368"/>
      <c r="AG24" s="5"/>
    </row>
    <row r="25" spans="2:33" ht="12" customHeight="1" x14ac:dyDescent="0.3">
      <c r="B25" s="4"/>
      <c r="C25" s="373"/>
      <c r="D25" s="374"/>
      <c r="E25" s="374"/>
      <c r="F25" s="374"/>
      <c r="G25" s="374"/>
      <c r="H25" s="374"/>
      <c r="I25" s="374"/>
      <c r="J25" s="374"/>
      <c r="K25" s="374"/>
      <c r="L25" s="375"/>
      <c r="M25" s="11"/>
      <c r="N25" s="373"/>
      <c r="O25" s="374"/>
      <c r="P25" s="374"/>
      <c r="Q25" s="374"/>
      <c r="R25" s="374"/>
      <c r="S25" s="374"/>
      <c r="T25" s="374"/>
      <c r="U25" s="374"/>
      <c r="V25" s="375"/>
      <c r="W25" s="12"/>
      <c r="X25" s="373"/>
      <c r="Y25" s="374"/>
      <c r="Z25" s="374"/>
      <c r="AA25" s="374"/>
      <c r="AB25" s="374"/>
      <c r="AC25" s="374"/>
      <c r="AD25" s="374"/>
      <c r="AE25" s="374"/>
      <c r="AF25" s="375"/>
      <c r="AG25" s="5"/>
    </row>
    <row r="26" spans="2:33" ht="12" customHeight="1" x14ac:dyDescent="0.3">
      <c r="B26" s="4"/>
      <c r="C26" s="373"/>
      <c r="D26" s="374"/>
      <c r="E26" s="374"/>
      <c r="F26" s="374"/>
      <c r="G26" s="374"/>
      <c r="H26" s="374"/>
      <c r="I26" s="374"/>
      <c r="J26" s="374"/>
      <c r="K26" s="374"/>
      <c r="L26" s="375"/>
      <c r="M26" s="11"/>
      <c r="N26" s="373"/>
      <c r="O26" s="374"/>
      <c r="P26" s="374"/>
      <c r="Q26" s="374"/>
      <c r="R26" s="374"/>
      <c r="S26" s="374"/>
      <c r="T26" s="374"/>
      <c r="U26" s="374"/>
      <c r="V26" s="375"/>
      <c r="W26" s="12"/>
      <c r="X26" s="373"/>
      <c r="Y26" s="374"/>
      <c r="Z26" s="374"/>
      <c r="AA26" s="374"/>
      <c r="AB26" s="374"/>
      <c r="AC26" s="374"/>
      <c r="AD26" s="374"/>
      <c r="AE26" s="374"/>
      <c r="AF26" s="375"/>
      <c r="AG26" s="5"/>
    </row>
    <row r="27" spans="2:33" ht="12" customHeight="1" x14ac:dyDescent="0.3">
      <c r="B27" s="4"/>
      <c r="C27" s="373"/>
      <c r="D27" s="374"/>
      <c r="E27" s="374"/>
      <c r="F27" s="374"/>
      <c r="G27" s="374"/>
      <c r="H27" s="374"/>
      <c r="I27" s="374"/>
      <c r="J27" s="374"/>
      <c r="K27" s="374"/>
      <c r="L27" s="375"/>
      <c r="M27" s="11"/>
      <c r="N27" s="369" t="str">
        <f>HLOOKUP(Language!$B$2,Language!$C$12:$H$656,37)</f>
        <v>How was it discovered?</v>
      </c>
      <c r="O27" s="370"/>
      <c r="P27" s="370"/>
      <c r="Q27" s="370"/>
      <c r="R27" s="370"/>
      <c r="S27" s="370"/>
      <c r="T27" s="370"/>
      <c r="U27" s="370"/>
      <c r="V27" s="371"/>
      <c r="W27" s="12"/>
      <c r="X27" s="369" t="str">
        <f>HLOOKUP(Language!$B$2,Language!$C$12:$H$656,40)</f>
        <v>Who discovered it?</v>
      </c>
      <c r="Y27" s="370"/>
      <c r="Z27" s="370"/>
      <c r="AA27" s="370"/>
      <c r="AB27" s="370"/>
      <c r="AC27" s="370"/>
      <c r="AD27" s="370"/>
      <c r="AE27" s="370"/>
      <c r="AF27" s="371"/>
      <c r="AG27" s="5"/>
    </row>
    <row r="28" spans="2:33" ht="12" customHeight="1" x14ac:dyDescent="0.3">
      <c r="B28" s="4"/>
      <c r="C28" s="373"/>
      <c r="D28" s="374"/>
      <c r="E28" s="374"/>
      <c r="F28" s="374"/>
      <c r="G28" s="374"/>
      <c r="H28" s="374"/>
      <c r="I28" s="374"/>
      <c r="J28" s="374"/>
      <c r="K28" s="374"/>
      <c r="L28" s="375"/>
      <c r="M28" s="11"/>
      <c r="N28" s="373"/>
      <c r="O28" s="374"/>
      <c r="P28" s="374"/>
      <c r="Q28" s="374"/>
      <c r="R28" s="374"/>
      <c r="S28" s="374"/>
      <c r="T28" s="374"/>
      <c r="U28" s="374"/>
      <c r="V28" s="375"/>
      <c r="W28" s="12"/>
      <c r="X28" s="373"/>
      <c r="Y28" s="374"/>
      <c r="Z28" s="374"/>
      <c r="AA28" s="374"/>
      <c r="AB28" s="374"/>
      <c r="AC28" s="374"/>
      <c r="AD28" s="374"/>
      <c r="AE28" s="374"/>
      <c r="AF28" s="375"/>
      <c r="AG28" s="5"/>
    </row>
    <row r="29" spans="2:33" ht="12" customHeight="1" x14ac:dyDescent="0.3">
      <c r="B29" s="4"/>
      <c r="C29" s="373"/>
      <c r="D29" s="374"/>
      <c r="E29" s="374"/>
      <c r="F29" s="374"/>
      <c r="G29" s="374"/>
      <c r="H29" s="374"/>
      <c r="I29" s="374"/>
      <c r="J29" s="374"/>
      <c r="K29" s="374"/>
      <c r="L29" s="375"/>
      <c r="M29" s="13"/>
      <c r="N29" s="373"/>
      <c r="O29" s="374"/>
      <c r="P29" s="374"/>
      <c r="Q29" s="374"/>
      <c r="R29" s="374"/>
      <c r="S29" s="374"/>
      <c r="T29" s="374"/>
      <c r="U29" s="374"/>
      <c r="V29" s="375"/>
      <c r="W29" s="8"/>
      <c r="X29" s="373"/>
      <c r="Y29" s="374"/>
      <c r="Z29" s="374"/>
      <c r="AA29" s="374"/>
      <c r="AB29" s="374"/>
      <c r="AC29" s="374"/>
      <c r="AD29" s="374"/>
      <c r="AE29" s="374"/>
      <c r="AF29" s="375"/>
      <c r="AG29" s="5"/>
    </row>
    <row r="30" spans="2:33" ht="12" customHeight="1" x14ac:dyDescent="0.3">
      <c r="B30" s="4"/>
      <c r="C30" s="373"/>
      <c r="D30" s="374"/>
      <c r="E30" s="374"/>
      <c r="F30" s="374"/>
      <c r="G30" s="374"/>
      <c r="H30" s="374"/>
      <c r="I30" s="374"/>
      <c r="J30" s="374"/>
      <c r="K30" s="374"/>
      <c r="L30" s="375"/>
      <c r="M30" s="14"/>
      <c r="N30" s="369" t="str">
        <f>HLOOKUP(Language!$B$2,Language!$C$12:$H$656,38)</f>
        <v>When did it occur?</v>
      </c>
      <c r="O30" s="370"/>
      <c r="P30" s="370"/>
      <c r="Q30" s="370"/>
      <c r="R30" s="370"/>
      <c r="S30" s="370"/>
      <c r="T30" s="370"/>
      <c r="U30" s="370"/>
      <c r="V30" s="371"/>
      <c r="W30" s="14"/>
      <c r="X30" s="369" t="str">
        <f>HLOOKUP(Language!$B$2,Language!$C$12:$H$656,41)</f>
        <v>Where was it discovered?</v>
      </c>
      <c r="Y30" s="370"/>
      <c r="Z30" s="370"/>
      <c r="AA30" s="370"/>
      <c r="AB30" s="370"/>
      <c r="AC30" s="370"/>
      <c r="AD30" s="370"/>
      <c r="AE30" s="370"/>
      <c r="AF30" s="371"/>
      <c r="AG30" s="5"/>
    </row>
    <row r="31" spans="2:33" ht="12" customHeight="1" x14ac:dyDescent="0.3">
      <c r="B31" s="4"/>
      <c r="C31" s="373"/>
      <c r="D31" s="374"/>
      <c r="E31" s="374"/>
      <c r="F31" s="374"/>
      <c r="G31" s="374"/>
      <c r="H31" s="374"/>
      <c r="I31" s="374"/>
      <c r="J31" s="374"/>
      <c r="K31" s="374"/>
      <c r="L31" s="375"/>
      <c r="M31" s="15"/>
      <c r="N31" s="373"/>
      <c r="O31" s="374"/>
      <c r="P31" s="374"/>
      <c r="Q31" s="374"/>
      <c r="R31" s="374"/>
      <c r="S31" s="374"/>
      <c r="T31" s="374"/>
      <c r="U31" s="374"/>
      <c r="V31" s="375"/>
      <c r="W31" s="15"/>
      <c r="X31" s="373"/>
      <c r="Y31" s="374"/>
      <c r="Z31" s="374"/>
      <c r="AA31" s="374"/>
      <c r="AB31" s="374"/>
      <c r="AC31" s="374"/>
      <c r="AD31" s="374"/>
      <c r="AE31" s="374"/>
      <c r="AF31" s="375"/>
      <c r="AG31" s="5"/>
    </row>
    <row r="32" spans="2:33" ht="12" customHeight="1" x14ac:dyDescent="0.3">
      <c r="B32" s="4"/>
      <c r="C32" s="376"/>
      <c r="D32" s="377"/>
      <c r="E32" s="377"/>
      <c r="F32" s="377"/>
      <c r="G32" s="377"/>
      <c r="H32" s="377"/>
      <c r="I32" s="377"/>
      <c r="J32" s="377"/>
      <c r="K32" s="377"/>
      <c r="L32" s="378"/>
      <c r="M32" s="14"/>
      <c r="N32" s="376"/>
      <c r="O32" s="377"/>
      <c r="P32" s="377"/>
      <c r="Q32" s="377"/>
      <c r="R32" s="377"/>
      <c r="S32" s="377"/>
      <c r="T32" s="377"/>
      <c r="U32" s="377"/>
      <c r="V32" s="378"/>
      <c r="W32" s="14"/>
      <c r="X32" s="376"/>
      <c r="Y32" s="377"/>
      <c r="Z32" s="377"/>
      <c r="AA32" s="377"/>
      <c r="AB32" s="377"/>
      <c r="AC32" s="377"/>
      <c r="AD32" s="377"/>
      <c r="AE32" s="377"/>
      <c r="AF32" s="378"/>
      <c r="AG32" s="5"/>
    </row>
    <row r="33" spans="2:33" ht="12" customHeight="1" x14ac:dyDescent="0.3">
      <c r="B33" s="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5"/>
    </row>
    <row r="34" spans="2:33" ht="12" customHeight="1" x14ac:dyDescent="0.3">
      <c r="B34" s="4"/>
      <c r="C34" s="297" t="str">
        <f>HLOOKUP(Language!$B$2,Language!$C$12:$H$656,42)</f>
        <v>Drawing, Photo, Sketch</v>
      </c>
      <c r="D34" s="297"/>
      <c r="E34" s="297"/>
      <c r="F34" s="297"/>
      <c r="G34" s="297"/>
      <c r="H34" s="297"/>
      <c r="I34" s="297"/>
      <c r="J34" s="297"/>
      <c r="K34" s="297"/>
      <c r="L34" s="297"/>
      <c r="M34" s="297"/>
      <c r="O34" s="15"/>
      <c r="Q34" s="15"/>
      <c r="R34" s="15"/>
      <c r="S34" s="15"/>
      <c r="T34" s="15"/>
      <c r="V34" s="128"/>
      <c r="W34" s="298" t="str">
        <f>HLOOKUP(Language!$B$2,Language!$C$12:$H$656,50)</f>
        <v>When more space is needed for illustrations.</v>
      </c>
      <c r="X34" s="298"/>
      <c r="Y34" s="298"/>
      <c r="Z34" s="298"/>
      <c r="AA34" s="298"/>
      <c r="AB34" s="298"/>
      <c r="AC34" s="298"/>
      <c r="AD34" s="298"/>
      <c r="AE34" s="299" t="s">
        <v>179</v>
      </c>
      <c r="AF34" s="299"/>
      <c r="AG34" s="5"/>
    </row>
    <row r="35" spans="2:33" ht="12" customHeight="1" x14ac:dyDescent="0.3">
      <c r="B35" s="4"/>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c r="AB35" s="372"/>
      <c r="AC35" s="372"/>
      <c r="AD35" s="372"/>
      <c r="AE35" s="372"/>
      <c r="AF35" s="372"/>
      <c r="AG35" s="5"/>
    </row>
    <row r="36" spans="2:33" ht="12" customHeight="1" x14ac:dyDescent="0.3">
      <c r="B36" s="4"/>
      <c r="C36" s="372"/>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5"/>
    </row>
    <row r="37" spans="2:33" ht="12" customHeight="1" x14ac:dyDescent="0.3">
      <c r="B37" s="4"/>
      <c r="C37" s="372"/>
      <c r="D37" s="372"/>
      <c r="E37" s="372"/>
      <c r="F37" s="372"/>
      <c r="G37" s="372"/>
      <c r="H37" s="372"/>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2"/>
      <c r="AF37" s="372"/>
      <c r="AG37" s="5"/>
    </row>
    <row r="38" spans="2:33" ht="12" customHeight="1" x14ac:dyDescent="0.3">
      <c r="B38" s="4"/>
      <c r="C38" s="372"/>
      <c r="D38" s="372"/>
      <c r="E38" s="372"/>
      <c r="F38" s="372"/>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2"/>
      <c r="AF38" s="372"/>
      <c r="AG38" s="5"/>
    </row>
    <row r="39" spans="2:33" ht="12" customHeight="1" x14ac:dyDescent="0.3">
      <c r="B39" s="4"/>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5"/>
    </row>
    <row r="40" spans="2:33" ht="12" customHeight="1" x14ac:dyDescent="0.3">
      <c r="B40" s="4"/>
      <c r="C40" s="372"/>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2"/>
      <c r="AB40" s="372"/>
      <c r="AC40" s="372"/>
      <c r="AD40" s="372"/>
      <c r="AE40" s="372"/>
      <c r="AF40" s="372"/>
      <c r="AG40" s="5"/>
    </row>
    <row r="41" spans="2:33" ht="12" customHeight="1" x14ac:dyDescent="0.3">
      <c r="B41" s="4"/>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5"/>
    </row>
    <row r="42" spans="2:33" ht="12" customHeight="1" x14ac:dyDescent="0.3">
      <c r="B42" s="4"/>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5"/>
    </row>
    <row r="43" spans="2:33" ht="12" customHeight="1" x14ac:dyDescent="0.3">
      <c r="B43" s="4"/>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5"/>
    </row>
    <row r="44" spans="2:33" ht="12" customHeight="1" x14ac:dyDescent="0.3">
      <c r="B44" s="4"/>
      <c r="C44" s="372"/>
      <c r="D44" s="372"/>
      <c r="E44" s="372"/>
      <c r="F44" s="372"/>
      <c r="G44" s="372"/>
      <c r="H44" s="372"/>
      <c r="I44" s="372"/>
      <c r="J44" s="372"/>
      <c r="K44" s="372"/>
      <c r="L44" s="372"/>
      <c r="M44" s="372"/>
      <c r="N44" s="372"/>
      <c r="O44" s="372"/>
      <c r="P44" s="372"/>
      <c r="Q44" s="372"/>
      <c r="R44" s="372"/>
      <c r="S44" s="372"/>
      <c r="T44" s="372"/>
      <c r="U44" s="372"/>
      <c r="V44" s="372"/>
      <c r="W44" s="372"/>
      <c r="X44" s="372"/>
      <c r="Y44" s="372"/>
      <c r="Z44" s="372"/>
      <c r="AA44" s="372"/>
      <c r="AB44" s="372"/>
      <c r="AC44" s="372"/>
      <c r="AD44" s="372"/>
      <c r="AE44" s="372"/>
      <c r="AF44" s="372"/>
      <c r="AG44" s="5"/>
    </row>
    <row r="45" spans="2:33" ht="12" customHeight="1" x14ac:dyDescent="0.3">
      <c r="B45" s="4"/>
      <c r="C45" s="372"/>
      <c r="D45" s="372"/>
      <c r="E45" s="372"/>
      <c r="F45" s="372"/>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5"/>
    </row>
    <row r="46" spans="2:33" ht="12" customHeight="1" x14ac:dyDescent="0.3">
      <c r="B46" s="4"/>
      <c r="C46" s="372"/>
      <c r="D46" s="372"/>
      <c r="E46" s="372"/>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5"/>
    </row>
    <row r="47" spans="2:33" ht="12" customHeight="1" x14ac:dyDescent="0.3">
      <c r="B47" s="4"/>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5"/>
    </row>
    <row r="48" spans="2:33" ht="6" customHeight="1" x14ac:dyDescent="0.3">
      <c r="B48" s="39"/>
      <c r="C48" s="38"/>
      <c r="D48" s="38"/>
      <c r="E48" s="38"/>
      <c r="F48" s="38"/>
      <c r="G48" s="38"/>
      <c r="H48" s="38"/>
      <c r="I48" s="38"/>
      <c r="J48" s="38"/>
      <c r="K48" s="6"/>
      <c r="L48" s="6"/>
      <c r="M48" s="6"/>
      <c r="N48" s="6"/>
      <c r="O48" s="6"/>
      <c r="P48" s="6"/>
      <c r="Q48" s="6"/>
      <c r="R48" s="6"/>
      <c r="S48" s="6"/>
      <c r="T48" s="6"/>
      <c r="U48" s="6"/>
      <c r="V48" s="6"/>
      <c r="W48" s="6"/>
      <c r="X48" s="6"/>
      <c r="Y48" s="6"/>
      <c r="Z48" s="38"/>
      <c r="AA48" s="38"/>
      <c r="AB48" s="38"/>
      <c r="AC48" s="38"/>
      <c r="AD48" s="38"/>
      <c r="AE48" s="38"/>
      <c r="AF48" s="38"/>
      <c r="AG48" s="49"/>
    </row>
    <row r="49" spans="2:33" ht="12" customHeight="1" x14ac:dyDescent="0.3">
      <c r="B49" s="39"/>
      <c r="C49" s="40"/>
      <c r="D49" s="37"/>
      <c r="E49" s="37"/>
      <c r="F49" s="37"/>
      <c r="G49" s="37"/>
      <c r="J49" s="40"/>
      <c r="K49" s="12"/>
      <c r="L49" s="361" t="str">
        <f>HLOOKUP(Language!$B$2,Language!$C$12:$H$656,48)</f>
        <v>First occurrence defect</v>
      </c>
      <c r="M49" s="361"/>
      <c r="N49" s="361"/>
      <c r="O49" s="361"/>
      <c r="P49" s="361"/>
      <c r="Q49" s="361"/>
      <c r="R49" s="361"/>
      <c r="T49" s="36"/>
      <c r="U49" s="361" t="str">
        <f>HLOOKUP(Language!$B$2,Language!$C$12:$H$656,49)</f>
        <v>Repetitive defect</v>
      </c>
      <c r="V49" s="361"/>
      <c r="W49" s="361"/>
      <c r="X49" s="361"/>
      <c r="Y49" s="361"/>
      <c r="AB49" s="38"/>
      <c r="AC49" s="38"/>
      <c r="AD49" s="38"/>
      <c r="AE49" s="38"/>
      <c r="AF49" s="38"/>
      <c r="AG49" s="49"/>
    </row>
    <row r="50" spans="2:33" ht="6" customHeight="1" x14ac:dyDescent="0.3">
      <c r="B50" s="39"/>
      <c r="C50" s="38"/>
      <c r="D50" s="38"/>
      <c r="E50" s="38"/>
      <c r="F50" s="38"/>
      <c r="G50" s="38"/>
      <c r="H50" s="38"/>
      <c r="I50" s="38"/>
      <c r="J50" s="38"/>
      <c r="K50" s="38"/>
      <c r="N50" s="38"/>
      <c r="O50" s="38"/>
      <c r="Q50" s="38"/>
      <c r="R50" s="38"/>
      <c r="S50" s="38"/>
      <c r="T50" s="38"/>
      <c r="U50" s="38"/>
      <c r="V50" s="38"/>
      <c r="W50" s="38"/>
      <c r="X50" s="38"/>
      <c r="Y50" s="38"/>
      <c r="Z50" s="38"/>
      <c r="AA50" s="38"/>
      <c r="AB50" s="38"/>
      <c r="AC50" s="38"/>
      <c r="AD50" s="38"/>
      <c r="AE50" s="38"/>
      <c r="AF50" s="38"/>
      <c r="AG50" s="49"/>
    </row>
    <row r="51" spans="2:33" ht="12" customHeight="1" x14ac:dyDescent="0.3">
      <c r="B51" s="4"/>
      <c r="C51" s="310" t="str">
        <f>HLOOKUP(Language!$B$2,Language!$C$12:$H$656,43)</f>
        <v>Suspected quantity at the customer:</v>
      </c>
      <c r="D51" s="311"/>
      <c r="E51" s="311"/>
      <c r="F51" s="311"/>
      <c r="G51" s="311"/>
      <c r="H51" s="311"/>
      <c r="I51" s="311"/>
      <c r="J51" s="311"/>
      <c r="K51" s="311"/>
      <c r="L51" s="311"/>
      <c r="M51" s="311"/>
      <c r="N51" s="312"/>
      <c r="O51" s="313"/>
      <c r="P51" s="314"/>
      <c r="Q51" s="314"/>
      <c r="R51" s="315"/>
      <c r="T51" s="305" t="str">
        <f>HLOOKUP(Language!$B$2,Language!$C$12:$H$656,45)</f>
        <v>Suspect Quantity in transport:</v>
      </c>
      <c r="U51" s="305"/>
      <c r="V51" s="305"/>
      <c r="W51" s="305"/>
      <c r="X51" s="305"/>
      <c r="Y51" s="305"/>
      <c r="Z51" s="305"/>
      <c r="AA51" s="305"/>
      <c r="AB51" s="305"/>
      <c r="AC51" s="300"/>
      <c r="AD51" s="300"/>
      <c r="AE51" s="300"/>
      <c r="AF51" s="300"/>
      <c r="AG51" s="5"/>
    </row>
    <row r="52" spans="2:33" ht="12" customHeight="1" x14ac:dyDescent="0.3">
      <c r="B52" s="4"/>
      <c r="C52" s="310" t="str">
        <f>HLOOKUP(Language!$B$2,Language!$C$12:$H$656,44)</f>
        <v>Suspected faulty quantity at the supplier:</v>
      </c>
      <c r="D52" s="311"/>
      <c r="E52" s="311"/>
      <c r="F52" s="311"/>
      <c r="G52" s="311"/>
      <c r="H52" s="311"/>
      <c r="I52" s="311"/>
      <c r="J52" s="311"/>
      <c r="K52" s="311"/>
      <c r="L52" s="311"/>
      <c r="M52" s="311"/>
      <c r="N52" s="312"/>
      <c r="O52" s="316"/>
      <c r="P52" s="317"/>
      <c r="Q52" s="317"/>
      <c r="R52" s="318"/>
      <c r="T52" s="308" t="str">
        <f>HLOOKUP(Language!$B$2,Language!$C$12:$H$656,46)</f>
        <v>If yes, delivery note number:</v>
      </c>
      <c r="U52" s="308"/>
      <c r="V52" s="308"/>
      <c r="W52" s="308"/>
      <c r="X52" s="308"/>
      <c r="Y52" s="308"/>
      <c r="Z52" s="308"/>
      <c r="AA52" s="308"/>
      <c r="AB52" s="308"/>
      <c r="AC52" s="309"/>
      <c r="AD52" s="309"/>
      <c r="AE52" s="309"/>
      <c r="AF52" s="309"/>
      <c r="AG52" s="5"/>
    </row>
    <row r="53" spans="2:33" ht="12" customHeight="1" x14ac:dyDescent="0.3">
      <c r="B53" s="4"/>
      <c r="C53" s="310" t="str">
        <f>HLOOKUP(Language!$B$2,Language!$C$12:$H$656,47)</f>
        <v>Are further part numbers affected, if YES which ones:</v>
      </c>
      <c r="D53" s="311"/>
      <c r="E53" s="311"/>
      <c r="F53" s="311"/>
      <c r="G53" s="311"/>
      <c r="H53" s="311"/>
      <c r="I53" s="311"/>
      <c r="J53" s="311"/>
      <c r="K53" s="311"/>
      <c r="L53" s="311"/>
      <c r="M53" s="311"/>
      <c r="N53" s="312"/>
      <c r="O53" s="294"/>
      <c r="P53" s="295"/>
      <c r="Q53" s="295"/>
      <c r="R53" s="295"/>
      <c r="S53" s="295"/>
      <c r="T53" s="295"/>
      <c r="U53" s="295"/>
      <c r="V53" s="295"/>
      <c r="W53" s="295"/>
      <c r="X53" s="295"/>
      <c r="Y53" s="295"/>
      <c r="Z53" s="295"/>
      <c r="AA53" s="295"/>
      <c r="AB53" s="295"/>
      <c r="AC53" s="295"/>
      <c r="AD53" s="295"/>
      <c r="AE53" s="295"/>
      <c r="AF53" s="296"/>
      <c r="AG53" s="5"/>
    </row>
    <row r="54" spans="2:33" ht="12" customHeight="1" thickBot="1" x14ac:dyDescent="0.35">
      <c r="B54" s="4"/>
      <c r="C54" s="16"/>
      <c r="D54" s="17"/>
      <c r="E54" s="17"/>
      <c r="F54" s="17"/>
      <c r="G54" s="17"/>
      <c r="H54" s="17"/>
      <c r="I54" s="17"/>
      <c r="J54" s="17"/>
      <c r="K54" s="17"/>
      <c r="L54" s="17"/>
      <c r="M54" s="17"/>
      <c r="N54" s="17"/>
      <c r="O54" s="12"/>
      <c r="P54" s="12"/>
      <c r="Q54" s="12"/>
      <c r="R54" s="6"/>
      <c r="S54" s="6"/>
      <c r="T54" s="6"/>
      <c r="U54" s="6"/>
      <c r="V54" s="6"/>
      <c r="W54" s="6"/>
      <c r="X54" s="6"/>
      <c r="Y54" s="6"/>
      <c r="Z54" s="6"/>
      <c r="AA54" s="6"/>
      <c r="AB54" s="6"/>
      <c r="AC54" s="6"/>
      <c r="AD54" s="6"/>
      <c r="AE54" s="6"/>
      <c r="AF54" s="6"/>
      <c r="AG54" s="5"/>
    </row>
    <row r="55" spans="2:33" ht="15" customHeight="1" thickBot="1" x14ac:dyDescent="0.35">
      <c r="B55" s="302" t="str">
        <f>HLOOKUP(Language!$B$2,Language!$C$12:$H$656,56)</f>
        <v>D3 - Containment actions</v>
      </c>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4"/>
    </row>
    <row r="56" spans="2:33" ht="12" customHeight="1" x14ac:dyDescent="0.3">
      <c r="B56" s="4"/>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5"/>
    </row>
    <row r="57" spans="2:33" ht="12" customHeight="1" x14ac:dyDescent="0.3">
      <c r="B57" s="4"/>
      <c r="C57" s="307" t="str">
        <f>HLOOKUP(Language!$B$2,Language!$C$12:$H$656,58)</f>
        <v>Containment actions</v>
      </c>
      <c r="D57" s="307"/>
      <c r="E57" s="307"/>
      <c r="F57" s="307"/>
      <c r="G57" s="307"/>
      <c r="H57" s="307"/>
      <c r="I57" s="307"/>
      <c r="J57" s="307"/>
      <c r="K57" s="307"/>
      <c r="L57" s="307"/>
      <c r="M57" s="307"/>
      <c r="N57" s="307"/>
      <c r="O57" s="307"/>
      <c r="P57" s="307"/>
      <c r="Q57" s="307"/>
      <c r="R57" s="307" t="str">
        <f>HLOOKUP(Language!$B$2,Language!$C$12:$H$656,57)</f>
        <v>Date</v>
      </c>
      <c r="S57" s="307"/>
      <c r="T57" s="307"/>
      <c r="U57" s="307"/>
      <c r="V57" s="307"/>
      <c r="W57" s="307" t="str">
        <f>HLOOKUP(Language!$B$2,Language!$C$12:$H$656,59)</f>
        <v>Responsible</v>
      </c>
      <c r="X57" s="307"/>
      <c r="Y57" s="307"/>
      <c r="Z57" s="307"/>
      <c r="AA57" s="307"/>
      <c r="AB57" s="307"/>
      <c r="AC57" s="307"/>
      <c r="AD57" s="285" t="str">
        <f>HLOOKUP(Language!$B$2,Language!$C$12:$H$656,60)</f>
        <v>Status</v>
      </c>
      <c r="AE57" s="285"/>
      <c r="AF57" s="285"/>
      <c r="AG57" s="5"/>
    </row>
    <row r="58" spans="2:33" ht="12" customHeight="1" x14ac:dyDescent="0.3">
      <c r="B58" s="4"/>
      <c r="C58" s="301"/>
      <c r="D58" s="301"/>
      <c r="E58" s="301"/>
      <c r="F58" s="301"/>
      <c r="G58" s="301"/>
      <c r="H58" s="301"/>
      <c r="I58" s="301"/>
      <c r="J58" s="301"/>
      <c r="K58" s="301"/>
      <c r="L58" s="301"/>
      <c r="M58" s="301"/>
      <c r="N58" s="301"/>
      <c r="O58" s="301"/>
      <c r="P58" s="301"/>
      <c r="Q58" s="301"/>
      <c r="R58" s="300"/>
      <c r="S58" s="300"/>
      <c r="T58" s="300"/>
      <c r="U58" s="300"/>
      <c r="V58" s="300"/>
      <c r="W58" s="300"/>
      <c r="X58" s="300"/>
      <c r="Y58" s="300"/>
      <c r="Z58" s="300"/>
      <c r="AA58" s="300"/>
      <c r="AB58" s="300"/>
      <c r="AC58" s="300"/>
      <c r="AD58" s="352">
        <v>0</v>
      </c>
      <c r="AE58" s="353"/>
      <c r="AF58" s="354"/>
      <c r="AG58" s="5"/>
    </row>
    <row r="59" spans="2:33" ht="12" customHeight="1" x14ac:dyDescent="0.3">
      <c r="B59" s="4"/>
      <c r="C59" s="301"/>
      <c r="D59" s="301"/>
      <c r="E59" s="301"/>
      <c r="F59" s="301"/>
      <c r="G59" s="301"/>
      <c r="H59" s="301"/>
      <c r="I59" s="301"/>
      <c r="J59" s="301"/>
      <c r="K59" s="301"/>
      <c r="L59" s="301"/>
      <c r="M59" s="301"/>
      <c r="N59" s="301"/>
      <c r="O59" s="301"/>
      <c r="P59" s="301"/>
      <c r="Q59" s="301"/>
      <c r="R59" s="300"/>
      <c r="S59" s="300"/>
      <c r="T59" s="300"/>
      <c r="U59" s="300"/>
      <c r="V59" s="300"/>
      <c r="W59" s="300"/>
      <c r="X59" s="300"/>
      <c r="Y59" s="300"/>
      <c r="Z59" s="300"/>
      <c r="AA59" s="300"/>
      <c r="AB59" s="300"/>
      <c r="AC59" s="300"/>
      <c r="AD59" s="352">
        <v>0</v>
      </c>
      <c r="AE59" s="353"/>
      <c r="AF59" s="354"/>
      <c r="AG59" s="5"/>
    </row>
    <row r="60" spans="2:33" ht="12" customHeight="1" x14ac:dyDescent="0.3">
      <c r="B60" s="4"/>
      <c r="C60" s="301"/>
      <c r="D60" s="301"/>
      <c r="E60" s="301"/>
      <c r="F60" s="301"/>
      <c r="G60" s="301"/>
      <c r="H60" s="301"/>
      <c r="I60" s="301"/>
      <c r="J60" s="301"/>
      <c r="K60" s="301"/>
      <c r="L60" s="301"/>
      <c r="M60" s="301"/>
      <c r="N60" s="301"/>
      <c r="O60" s="301"/>
      <c r="P60" s="301"/>
      <c r="Q60" s="301"/>
      <c r="R60" s="300"/>
      <c r="S60" s="300"/>
      <c r="T60" s="300"/>
      <c r="U60" s="300"/>
      <c r="V60" s="300"/>
      <c r="W60" s="300"/>
      <c r="X60" s="300"/>
      <c r="Y60" s="300"/>
      <c r="Z60" s="300"/>
      <c r="AA60" s="300"/>
      <c r="AB60" s="300"/>
      <c r="AC60" s="300"/>
      <c r="AD60" s="352">
        <v>0</v>
      </c>
      <c r="AE60" s="353"/>
      <c r="AF60" s="354"/>
      <c r="AG60" s="5"/>
    </row>
    <row r="61" spans="2:33" ht="12" customHeight="1" x14ac:dyDescent="0.3">
      <c r="B61" s="4"/>
      <c r="C61" s="301"/>
      <c r="D61" s="301"/>
      <c r="E61" s="301"/>
      <c r="F61" s="301"/>
      <c r="G61" s="301"/>
      <c r="H61" s="301"/>
      <c r="I61" s="301"/>
      <c r="J61" s="301"/>
      <c r="K61" s="301"/>
      <c r="L61" s="301"/>
      <c r="M61" s="301"/>
      <c r="N61" s="301"/>
      <c r="O61" s="301"/>
      <c r="P61" s="301"/>
      <c r="Q61" s="301"/>
      <c r="R61" s="300"/>
      <c r="S61" s="300"/>
      <c r="T61" s="300"/>
      <c r="U61" s="300"/>
      <c r="V61" s="300"/>
      <c r="W61" s="300"/>
      <c r="X61" s="300"/>
      <c r="Y61" s="300"/>
      <c r="Z61" s="300"/>
      <c r="AA61" s="300"/>
      <c r="AB61" s="300"/>
      <c r="AC61" s="300"/>
      <c r="AD61" s="352">
        <v>0</v>
      </c>
      <c r="AE61" s="353"/>
      <c r="AF61" s="354"/>
      <c r="AG61" s="5"/>
    </row>
    <row r="62" spans="2:33" ht="12" customHeight="1" x14ac:dyDescent="0.3">
      <c r="B62" s="4"/>
      <c r="C62" s="301"/>
      <c r="D62" s="301"/>
      <c r="E62" s="301"/>
      <c r="F62" s="301"/>
      <c r="G62" s="301"/>
      <c r="H62" s="301"/>
      <c r="I62" s="301"/>
      <c r="J62" s="301"/>
      <c r="K62" s="301"/>
      <c r="L62" s="301"/>
      <c r="M62" s="301"/>
      <c r="N62" s="301"/>
      <c r="O62" s="301"/>
      <c r="P62" s="301"/>
      <c r="Q62" s="301"/>
      <c r="R62" s="300"/>
      <c r="S62" s="300"/>
      <c r="T62" s="300"/>
      <c r="U62" s="300"/>
      <c r="V62" s="300"/>
      <c r="W62" s="300"/>
      <c r="X62" s="300"/>
      <c r="Y62" s="300"/>
      <c r="Z62" s="300"/>
      <c r="AA62" s="300"/>
      <c r="AB62" s="300"/>
      <c r="AC62" s="300"/>
      <c r="AD62" s="352">
        <v>0</v>
      </c>
      <c r="AE62" s="353"/>
      <c r="AF62" s="354"/>
      <c r="AG62" s="5"/>
    </row>
    <row r="63" spans="2:33" ht="12" customHeight="1" x14ac:dyDescent="0.3">
      <c r="B63" s="4"/>
      <c r="C63" s="301"/>
      <c r="D63" s="301"/>
      <c r="E63" s="301"/>
      <c r="F63" s="301"/>
      <c r="G63" s="301"/>
      <c r="H63" s="301"/>
      <c r="I63" s="301"/>
      <c r="J63" s="301"/>
      <c r="K63" s="301"/>
      <c r="L63" s="301"/>
      <c r="M63" s="301"/>
      <c r="N63" s="301"/>
      <c r="O63" s="301"/>
      <c r="P63" s="301"/>
      <c r="Q63" s="301"/>
      <c r="R63" s="300"/>
      <c r="S63" s="300"/>
      <c r="T63" s="300"/>
      <c r="U63" s="300"/>
      <c r="V63" s="300"/>
      <c r="W63" s="300"/>
      <c r="X63" s="300"/>
      <c r="Y63" s="300"/>
      <c r="Z63" s="300"/>
      <c r="AA63" s="300"/>
      <c r="AB63" s="300"/>
      <c r="AC63" s="300"/>
      <c r="AD63" s="352">
        <v>0</v>
      </c>
      <c r="AE63" s="353"/>
      <c r="AF63" s="354"/>
      <c r="AG63" s="5"/>
    </row>
    <row r="64" spans="2:33" ht="12" customHeight="1" x14ac:dyDescent="0.3">
      <c r="B64" s="4"/>
      <c r="C64" s="6"/>
      <c r="D64" s="6"/>
      <c r="E64" s="6"/>
      <c r="F64" s="6"/>
      <c r="G64" s="6"/>
      <c r="H64" s="17"/>
      <c r="I64" s="379">
        <v>25</v>
      </c>
      <c r="J64" s="379"/>
      <c r="K64" s="6"/>
      <c r="L64" s="6"/>
      <c r="M64" s="6"/>
      <c r="N64" s="6"/>
      <c r="O64" s="6"/>
      <c r="P64" s="379">
        <v>50</v>
      </c>
      <c r="Q64" s="379"/>
      <c r="R64" s="246"/>
      <c r="S64" s="6"/>
      <c r="T64" s="6"/>
      <c r="U64" s="6"/>
      <c r="V64" s="379">
        <v>75</v>
      </c>
      <c r="W64" s="379"/>
      <c r="X64" s="246"/>
      <c r="Y64" s="6"/>
      <c r="Z64" s="6"/>
      <c r="AA64" s="6"/>
      <c r="AB64" s="379">
        <v>100</v>
      </c>
      <c r="AC64" s="379"/>
      <c r="AE64" s="246"/>
      <c r="AF64" s="6"/>
      <c r="AG64" s="5"/>
    </row>
    <row r="65" spans="2:33" ht="12" customHeight="1" x14ac:dyDescent="0.3">
      <c r="B65" s="4"/>
      <c r="C65" s="297" t="str">
        <f>HLOOKUP(Language!$B$2,Language!$C$12:$H$656,61)</f>
        <v>Status:</v>
      </c>
      <c r="D65" s="297"/>
      <c r="F65" s="382" t="str">
        <f>HLOOKUP(Language!$B$2,Language!$C$12:$H$656,62)</f>
        <v>Planned</v>
      </c>
      <c r="G65" s="382"/>
      <c r="H65" s="382"/>
      <c r="I65" s="380"/>
      <c r="J65" s="380"/>
      <c r="K65" s="382" t="str">
        <f>HLOOKUP(Language!$B$2,Language!$C$12:$H$656,63)</f>
        <v>In processing</v>
      </c>
      <c r="L65" s="382"/>
      <c r="M65" s="382"/>
      <c r="N65" s="382"/>
      <c r="O65" s="382"/>
      <c r="P65" s="380"/>
      <c r="Q65" s="380"/>
      <c r="R65" s="247"/>
      <c r="S65" s="272" t="str">
        <f>HLOOKUP(Language!$B$2,Language!$C$12:$H$656,64)</f>
        <v>Closed</v>
      </c>
      <c r="T65" s="272"/>
      <c r="U65" s="272"/>
      <c r="V65" s="380"/>
      <c r="W65" s="380"/>
      <c r="X65" s="247"/>
      <c r="Y65" s="272" t="str">
        <f>HLOOKUP(Language!$B$2,Language!$C$12:$H$656,65)</f>
        <v>Validated</v>
      </c>
      <c r="Z65" s="272"/>
      <c r="AA65" s="272"/>
      <c r="AB65" s="380"/>
      <c r="AC65" s="380"/>
      <c r="AD65" s="247"/>
      <c r="AE65" s="247"/>
      <c r="AF65" s="22"/>
      <c r="AG65" s="5"/>
    </row>
    <row r="66" spans="2:33" ht="12" customHeight="1" thickBot="1" x14ac:dyDescent="0.35">
      <c r="B66" s="4"/>
      <c r="C66" s="15"/>
      <c r="D66" s="15"/>
      <c r="F66" s="12"/>
      <c r="G66" s="12"/>
      <c r="H66" s="245"/>
      <c r="I66" s="381"/>
      <c r="J66" s="381"/>
      <c r="K66" s="6"/>
      <c r="L66" s="12"/>
      <c r="M66" s="12"/>
      <c r="N66" s="12"/>
      <c r="O66" s="12"/>
      <c r="P66" s="381"/>
      <c r="Q66" s="381"/>
      <c r="R66" s="248"/>
      <c r="S66" s="6"/>
      <c r="T66" s="12"/>
      <c r="U66" s="12"/>
      <c r="V66" s="381"/>
      <c r="W66" s="381"/>
      <c r="X66" s="248"/>
      <c r="Y66" s="6"/>
      <c r="AA66" s="12"/>
      <c r="AB66" s="381"/>
      <c r="AC66" s="381"/>
      <c r="AD66" s="248"/>
      <c r="AE66" s="248"/>
      <c r="AF66" s="22"/>
      <c r="AG66" s="5"/>
    </row>
    <row r="67" spans="2:33" ht="15" customHeight="1" thickBot="1" x14ac:dyDescent="0.35">
      <c r="B67" s="302" t="str">
        <f>HLOOKUP(Language!$B$2,Language!$C$12:$H$656,66)</f>
        <v>First delivery after implementation of containment actions</v>
      </c>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4"/>
    </row>
    <row r="68" spans="2:33" ht="12" customHeight="1" x14ac:dyDescent="0.3">
      <c r="B68" s="4"/>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5"/>
    </row>
    <row r="69" spans="2:33" ht="12" customHeight="1" x14ac:dyDescent="0.3">
      <c r="B69" s="4"/>
      <c r="C69" s="266" t="s">
        <v>617</v>
      </c>
      <c r="D69" s="266"/>
      <c r="E69" s="266"/>
      <c r="F69" s="266"/>
      <c r="G69" s="266"/>
      <c r="H69" s="266"/>
      <c r="I69" s="266"/>
      <c r="J69" s="267"/>
      <c r="K69" s="284" t="str">
        <f>HLOOKUP(Language!$B$2,Language!$C$12:$H$656,59)</f>
        <v>Responsible</v>
      </c>
      <c r="L69" s="284"/>
      <c r="M69" s="284"/>
      <c r="N69" s="284"/>
      <c r="O69" s="285" t="str">
        <f>HLOOKUP(Language!$B$2,Language!$C$12:$H$656,69)</f>
        <v xml:space="preserve">Delivery date/CW
</v>
      </c>
      <c r="P69" s="285"/>
      <c r="Q69" s="285"/>
      <c r="R69" s="285"/>
      <c r="S69" s="286" t="str">
        <f>HLOOKUP(Language!$B$2,Language!$C$12:$H$656,71)</f>
        <v>Delivery note number</v>
      </c>
      <c r="T69" s="287"/>
      <c r="U69" s="287"/>
      <c r="V69" s="287"/>
      <c r="W69" s="287"/>
      <c r="X69" s="287"/>
      <c r="Y69" s="287"/>
      <c r="Z69" s="288"/>
      <c r="AA69" s="286" t="str">
        <f>HLOOKUP(Language!$B$2,Language!$C$12:$H$656,70)</f>
        <v>Remarks</v>
      </c>
      <c r="AB69" s="287"/>
      <c r="AC69" s="287"/>
      <c r="AD69" s="287"/>
      <c r="AE69" s="287"/>
      <c r="AF69" s="288"/>
      <c r="AG69" s="5"/>
    </row>
    <row r="70" spans="2:33" ht="12" customHeight="1" x14ac:dyDescent="0.3">
      <c r="B70" s="4"/>
      <c r="C70" s="289" t="str">
        <f>HLOOKUP(Language!$B$2,Language!$C$12:$H$656,67)</f>
        <v>Labeling with the Elektra Label</v>
      </c>
      <c r="D70" s="290"/>
      <c r="E70" s="290"/>
      <c r="F70" s="290"/>
      <c r="G70" s="290"/>
      <c r="H70" s="290"/>
      <c r="I70" s="290"/>
      <c r="J70" s="291"/>
      <c r="K70" s="292"/>
      <c r="L70" s="292"/>
      <c r="M70" s="292"/>
      <c r="N70" s="292"/>
      <c r="O70" s="293"/>
      <c r="P70" s="293"/>
      <c r="Q70" s="293"/>
      <c r="R70" s="293"/>
      <c r="S70" s="294"/>
      <c r="T70" s="295"/>
      <c r="U70" s="295"/>
      <c r="V70" s="295"/>
      <c r="W70" s="295"/>
      <c r="X70" s="295"/>
      <c r="Y70" s="295"/>
      <c r="Z70" s="296"/>
      <c r="AA70" s="294"/>
      <c r="AB70" s="295"/>
      <c r="AC70" s="295"/>
      <c r="AD70" s="295"/>
      <c r="AE70" s="295"/>
      <c r="AF70" s="296"/>
      <c r="AG70" s="5"/>
    </row>
    <row r="71" spans="2:33" ht="12" customHeight="1" thickBot="1" x14ac:dyDescent="0.35">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20"/>
    </row>
    <row r="72" spans="2:33" ht="12" customHeight="1" x14ac:dyDescent="0.3"/>
    <row r="73" spans="2:33" ht="12" customHeight="1" x14ac:dyDescent="0.3"/>
    <row r="74" spans="2:33" ht="12" customHeight="1" x14ac:dyDescent="0.3"/>
    <row r="75" spans="2:33" ht="12" customHeight="1" x14ac:dyDescent="0.3"/>
    <row r="76" spans="2:33" ht="12" customHeight="1" x14ac:dyDescent="0.3"/>
    <row r="77" spans="2:33" ht="12" customHeight="1" x14ac:dyDescent="0.3"/>
    <row r="78" spans="2:33" ht="12" customHeight="1" x14ac:dyDescent="0.3"/>
    <row r="79" spans="2:33" ht="12" customHeight="1" x14ac:dyDescent="0.3"/>
    <row r="80" spans="2:33" ht="12" customHeight="1" x14ac:dyDescent="0.3"/>
  </sheetData>
  <sheetProtection algorithmName="SHA-512" hashValue="j9MDKq9O14voMSsGAtG9u1bygUAANnOfl4R4bET6cJbCMaudWB/wM7tCILN4zOYwH1YnulBjqARtAMK4np2Zpw==" saltValue="4Ou9wrLVZZ0PoC6t4ZS/BQ==" spinCount="100000" sheet="1" formatCells="0" selectLockedCells="1"/>
  <mergeCells count="145">
    <mergeCell ref="I64:J66"/>
    <mergeCell ref="P64:Q66"/>
    <mergeCell ref="V64:W66"/>
    <mergeCell ref="AB64:AC66"/>
    <mergeCell ref="F65:H65"/>
    <mergeCell ref="K65:O65"/>
    <mergeCell ref="AD60:AF60"/>
    <mergeCell ref="AD61:AF61"/>
    <mergeCell ref="AD62:AF62"/>
    <mergeCell ref="AD63:AF63"/>
    <mergeCell ref="C53:N53"/>
    <mergeCell ref="O53:AF53"/>
    <mergeCell ref="R58:V58"/>
    <mergeCell ref="R59:V59"/>
    <mergeCell ref="R60:V60"/>
    <mergeCell ref="R61:V61"/>
    <mergeCell ref="R62:V62"/>
    <mergeCell ref="R63:V63"/>
    <mergeCell ref="C58:Q58"/>
    <mergeCell ref="C59:Q59"/>
    <mergeCell ref="C60:Q60"/>
    <mergeCell ref="C61:Q61"/>
    <mergeCell ref="C62:Q62"/>
    <mergeCell ref="S65:U65"/>
    <mergeCell ref="Y65:AA65"/>
    <mergeCell ref="AD58:AF58"/>
    <mergeCell ref="AD59:AF59"/>
    <mergeCell ref="AI6:AK8"/>
    <mergeCell ref="L49:R49"/>
    <mergeCell ref="AI2:AJ3"/>
    <mergeCell ref="X24:AF24"/>
    <mergeCell ref="X27:AF27"/>
    <mergeCell ref="X30:AF30"/>
    <mergeCell ref="C35:AF47"/>
    <mergeCell ref="C24:L24"/>
    <mergeCell ref="C25:L32"/>
    <mergeCell ref="U49:Y49"/>
    <mergeCell ref="N27:V27"/>
    <mergeCell ref="N25:V26"/>
    <mergeCell ref="X28:AF29"/>
    <mergeCell ref="X25:AF26"/>
    <mergeCell ref="X31:AF32"/>
    <mergeCell ref="N28:V29"/>
    <mergeCell ref="N31:V32"/>
    <mergeCell ref="N24:V24"/>
    <mergeCell ref="N30:V30"/>
    <mergeCell ref="B22:AG22"/>
    <mergeCell ref="C21:J21"/>
    <mergeCell ref="K16:O16"/>
    <mergeCell ref="K17:O17"/>
    <mergeCell ref="K18:O18"/>
    <mergeCell ref="K19:O19"/>
    <mergeCell ref="K20:O20"/>
    <mergeCell ref="P17:T17"/>
    <mergeCell ref="P18:T18"/>
    <mergeCell ref="C16:J16"/>
    <mergeCell ref="C17:J17"/>
    <mergeCell ref="C18:J18"/>
    <mergeCell ref="P16:T16"/>
    <mergeCell ref="B1:Y2"/>
    <mergeCell ref="B3:F3"/>
    <mergeCell ref="B4:F4"/>
    <mergeCell ref="B5:F5"/>
    <mergeCell ref="G3:S3"/>
    <mergeCell ref="P19:T19"/>
    <mergeCell ref="P20:T20"/>
    <mergeCell ref="W7:AF7"/>
    <mergeCell ref="U16:AF16"/>
    <mergeCell ref="U19:AF19"/>
    <mergeCell ref="U20:AF20"/>
    <mergeCell ref="C19:J19"/>
    <mergeCell ref="C20:J20"/>
    <mergeCell ref="U17:AF17"/>
    <mergeCell ref="U18:AF18"/>
    <mergeCell ref="H7:Q7"/>
    <mergeCell ref="H8:Q8"/>
    <mergeCell ref="K14:O14"/>
    <mergeCell ref="P14:T14"/>
    <mergeCell ref="U14:AF14"/>
    <mergeCell ref="R9:U10"/>
    <mergeCell ref="Z6:AC6"/>
    <mergeCell ref="T3:V3"/>
    <mergeCell ref="W3:Y3"/>
    <mergeCell ref="K15:O15"/>
    <mergeCell ref="P13:T13"/>
    <mergeCell ref="P15:T15"/>
    <mergeCell ref="U13:AF13"/>
    <mergeCell ref="U15:AF15"/>
    <mergeCell ref="T4:Y4"/>
    <mergeCell ref="AD6:AF6"/>
    <mergeCell ref="M4:S4"/>
    <mergeCell ref="M5:S5"/>
    <mergeCell ref="G4:L4"/>
    <mergeCell ref="G5:L5"/>
    <mergeCell ref="T5:Y5"/>
    <mergeCell ref="C13:J13"/>
    <mergeCell ref="C15:J15"/>
    <mergeCell ref="B11:AG11"/>
    <mergeCell ref="C65:D65"/>
    <mergeCell ref="B67:AG67"/>
    <mergeCell ref="R8:V8"/>
    <mergeCell ref="R7:V7"/>
    <mergeCell ref="W8:AF8"/>
    <mergeCell ref="B55:AG55"/>
    <mergeCell ref="C57:Q57"/>
    <mergeCell ref="R57:V57"/>
    <mergeCell ref="AD57:AF57"/>
    <mergeCell ref="W57:AC57"/>
    <mergeCell ref="T51:AB51"/>
    <mergeCell ref="T52:AB52"/>
    <mergeCell ref="AC51:AF51"/>
    <mergeCell ref="AC52:AF52"/>
    <mergeCell ref="C51:N51"/>
    <mergeCell ref="C52:N52"/>
    <mergeCell ref="O51:R51"/>
    <mergeCell ref="O52:R52"/>
    <mergeCell ref="C7:G7"/>
    <mergeCell ref="O9:Q10"/>
    <mergeCell ref="C8:G8"/>
    <mergeCell ref="C14:J14"/>
    <mergeCell ref="K13:O13"/>
    <mergeCell ref="C69:J69"/>
    <mergeCell ref="Z1:AG3"/>
    <mergeCell ref="AA4:AD5"/>
    <mergeCell ref="AE4:AF5"/>
    <mergeCell ref="AI11:AK12"/>
    <mergeCell ref="K69:N69"/>
    <mergeCell ref="O69:R69"/>
    <mergeCell ref="S69:Z69"/>
    <mergeCell ref="C70:J70"/>
    <mergeCell ref="K70:N70"/>
    <mergeCell ref="O70:R70"/>
    <mergeCell ref="S70:Z70"/>
    <mergeCell ref="C34:M34"/>
    <mergeCell ref="W34:AD34"/>
    <mergeCell ref="AE34:AF34"/>
    <mergeCell ref="AA69:AF69"/>
    <mergeCell ref="AA70:AF70"/>
    <mergeCell ref="W63:AC63"/>
    <mergeCell ref="W58:AC58"/>
    <mergeCell ref="W59:AC59"/>
    <mergeCell ref="W60:AC60"/>
    <mergeCell ref="W61:AC61"/>
    <mergeCell ref="W62:AC62"/>
    <mergeCell ref="C63:Q63"/>
  </mergeCells>
  <conditionalFormatting sqref="C58:AC58">
    <cfRule type="cellIs" dxfId="166" priority="17" operator="equal">
      <formula>""</formula>
    </cfRule>
  </conditionalFormatting>
  <conditionalFormatting sqref="G4:L4">
    <cfRule type="cellIs" dxfId="165" priority="8" operator="equal">
      <formula>""</formula>
    </cfRule>
  </conditionalFormatting>
  <conditionalFormatting sqref="G3:S3">
    <cfRule type="cellIs" dxfId="164" priority="9" operator="equal">
      <formula>""</formula>
    </cfRule>
  </conditionalFormatting>
  <conditionalFormatting sqref="I64:J66">
    <cfRule type="iconSet" priority="5">
      <iconSet iconSet="5Quarters" showValue="0">
        <cfvo type="percent" val="0"/>
        <cfvo type="num" val="25"/>
        <cfvo type="num" val="50"/>
        <cfvo type="num" val="75"/>
        <cfvo type="num" val="100"/>
      </iconSet>
    </cfRule>
  </conditionalFormatting>
  <conditionalFormatting sqref="L49 U49:Y49">
    <cfRule type="expression" dxfId="163" priority="85">
      <formula>$AR$11=TRUE</formula>
    </cfRule>
    <cfRule type="expression" dxfId="162" priority="86">
      <formula>$AR$10=TRUE</formula>
    </cfRule>
  </conditionalFormatting>
  <conditionalFormatting sqref="O70 S70">
    <cfRule type="cellIs" dxfId="161" priority="6" operator="equal">
      <formula>""</formula>
    </cfRule>
  </conditionalFormatting>
  <conditionalFormatting sqref="P64 R64:R66">
    <cfRule type="iconSet" priority="4">
      <iconSet iconSet="5Quarters" showValue="0">
        <cfvo type="percent" val="0"/>
        <cfvo type="num" val="25"/>
        <cfvo type="num" val="50"/>
        <cfvo type="num" val="75"/>
        <cfvo type="num" val="100"/>
      </iconSet>
    </cfRule>
  </conditionalFormatting>
  <conditionalFormatting sqref="R9">
    <cfRule type="containsText" dxfId="160" priority="11" operator="containsText" text="Zaakceptowany">
      <formula>NOT(ISERROR(SEARCH("Zaakceptowany",R9)))</formula>
    </cfRule>
    <cfRule type="containsText" dxfId="159" priority="12" operator="containsText" text="w opracowanie">
      <formula>NOT(ISERROR(SEARCH("w opracowanie",R9)))</formula>
    </cfRule>
    <cfRule type="containsText" dxfId="158" priority="18" operator="containsText" text="in progress">
      <formula>NOT(ISERROR(SEARCH("in progress",R9)))</formula>
    </cfRule>
    <cfRule type="containsText" dxfId="157" priority="19" operator="containsText" text="Rejected">
      <formula>NOT(ISERROR(SEARCH("Rejected",R9)))</formula>
    </cfRule>
    <cfRule type="containsText" dxfId="156" priority="20" operator="containsText" text="Abgelehnt">
      <formula>NOT(ISERROR(SEARCH("Abgelehnt",R9)))</formula>
    </cfRule>
    <cfRule type="containsText" dxfId="155" priority="21" operator="containsText" text="Accepted">
      <formula>NOT(ISERROR(SEARCH("Accepted",R9)))</formula>
    </cfRule>
    <cfRule type="containsText" dxfId="154" priority="22" operator="containsText" text="Akzeptiert">
      <formula>NOT(ISERROR(SEARCH("Akzeptiert",R9)))</formula>
    </cfRule>
    <cfRule type="containsText" dxfId="153" priority="23" operator="containsText" text="Offen">
      <formula>NOT(ISERROR(SEARCH("Offen",R9)))</formula>
    </cfRule>
  </conditionalFormatting>
  <conditionalFormatting sqref="R9:U10">
    <cfRule type="containsText" dxfId="152" priority="10" operator="containsText" text="Odrzucony">
      <formula>NOT(ISERROR(SEARCH("Odrzucony",R9)))</formula>
    </cfRule>
  </conditionalFormatting>
  <conditionalFormatting sqref="T4:Y5 G5 H7:Q8 W7:AF8 AC51 O51:O52">
    <cfRule type="cellIs" dxfId="151" priority="28" operator="equal">
      <formula>""</formula>
    </cfRule>
  </conditionalFormatting>
  <conditionalFormatting sqref="V64 X64:X66">
    <cfRule type="iconSet" priority="3">
      <iconSet iconSet="5Quarters" showValue="0">
        <cfvo type="percent" val="0"/>
        <cfvo type="num" val="25"/>
        <cfvo type="num" val="50"/>
        <cfvo type="num" val="75"/>
        <cfvo type="num" val="100"/>
      </iconSet>
    </cfRule>
  </conditionalFormatting>
  <conditionalFormatting sqref="W3:Y3">
    <cfRule type="cellIs" dxfId="150" priority="7" operator="equal">
      <formula>""</formula>
    </cfRule>
  </conditionalFormatting>
  <conditionalFormatting sqref="AB64 AD65:AE66 AE64">
    <cfRule type="iconSet" priority="2">
      <iconSet iconSet="5Quarters" showValue="0">
        <cfvo type="percent" val="0"/>
        <cfvo type="num" val="25"/>
        <cfvo type="num" val="50"/>
        <cfvo type="num" val="75"/>
        <cfvo type="num" val="100"/>
      </iconSet>
    </cfRule>
  </conditionalFormatting>
  <conditionalFormatting sqref="AC52:AF52">
    <cfRule type="cellIs" dxfId="149" priority="26" operator="notEqual">
      <formula>""</formula>
    </cfRule>
    <cfRule type="expression" dxfId="148" priority="27">
      <formula>$AC$51&gt;0</formula>
    </cfRule>
  </conditionalFormatting>
  <conditionalFormatting sqref="AD58:AF63">
    <cfRule type="iconSet" priority="1">
      <iconSet iconSet="5Quarters" showValue="0">
        <cfvo type="percent" val="0"/>
        <cfvo type="num" val="25"/>
        <cfvo type="num" val="50"/>
        <cfvo type="num" val="75"/>
        <cfvo type="num" val="100"/>
      </iconSet>
    </cfRule>
  </conditionalFormatting>
  <conditionalFormatting sqref="AR3 AR6">
    <cfRule type="expression" dxfId="147" priority="80">
      <formula>IF($AR$4="WAHR",Akzeptiert,"Offen")</formula>
    </cfRule>
  </conditionalFormatting>
  <hyperlinks>
    <hyperlink ref="AE34:AF34" location="Images!A1" display="Images" xr:uid="{6BD61360-9634-493B-8D1E-75A51954BDFD}"/>
    <hyperlink ref="AJ9" location="Notice!A1" display="Notice" xr:uid="{A1616EEA-BBD8-4389-A920-F4842FD01CE7}"/>
    <hyperlink ref="C69:J69" r:id="rId1" display="Elektra Label" xr:uid="{04B0B90F-FA0C-4EA4-81EF-C34515B212A2}"/>
  </hyperlinks>
  <pageMargins left="0.31496062992125984" right="0.31496062992125984" top="0.31496062992125984" bottom="0.31496062992125984" header="0" footer="0"/>
  <pageSetup paperSize="9" scale="86" orientation="portrait" r:id="rId2"/>
  <ignoredErrors>
    <ignoredError sqref="AR3 AR6 AR10:AR11"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19</xdr:col>
                    <xdr:colOff>7620</xdr:colOff>
                    <xdr:row>47</xdr:row>
                    <xdr:rowOff>137160</xdr:rowOff>
                  </from>
                  <to>
                    <xdr:col>20</xdr:col>
                    <xdr:colOff>22860</xdr:colOff>
                    <xdr:row>49</xdr:row>
                    <xdr:rowOff>38100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10</xdr:col>
                    <xdr:colOff>22860</xdr:colOff>
                    <xdr:row>47</xdr:row>
                    <xdr:rowOff>45720</xdr:rowOff>
                  </from>
                  <to>
                    <xdr:col>11</xdr:col>
                    <xdr:colOff>0</xdr:colOff>
                    <xdr:row>49</xdr:row>
                    <xdr:rowOff>30480</xdr:rowOff>
                  </to>
                </anchor>
              </controlPr>
            </control>
          </mc:Choice>
        </mc:AlternateContent>
        <mc:AlternateContent xmlns:mc="http://schemas.openxmlformats.org/markup-compatibility/2006">
          <mc:Choice Requires="x14">
            <control shapeId="1033" r:id="rId7" name="Drop Down 9">
              <controlPr defaultSize="0" print="0" autoLine="0" autoPict="0">
                <anchor moveWithCells="1">
                  <from>
                    <xdr:col>35</xdr:col>
                    <xdr:colOff>548640</xdr:colOff>
                    <xdr:row>10</xdr:row>
                    <xdr:rowOff>30480</xdr:rowOff>
                  </from>
                  <to>
                    <xdr:col>36</xdr:col>
                    <xdr:colOff>746760</xdr:colOff>
                    <xdr:row>11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90DDA45-F5DC-4995-B56A-B0055891EC35}">
          <x14:formula1>
            <xm:f>Data!$B$83:$B$87</xm:f>
          </x14:formula1>
          <xm:sqref>AD58:AF63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A9A17-D53A-4636-A8B6-CEE448471785}">
  <sheetPr>
    <tabColor rgb="FF7030A0"/>
    <pageSetUpPr fitToPage="1"/>
  </sheetPr>
  <dimension ref="A2:K295"/>
  <sheetViews>
    <sheetView zoomScale="80" zoomScaleNormal="80" workbookViewId="0">
      <selection activeCell="E17" sqref="E17"/>
    </sheetView>
  </sheetViews>
  <sheetFormatPr baseColWidth="10" defaultColWidth="10.88671875" defaultRowHeight="14.4" x14ac:dyDescent="0.3"/>
  <cols>
    <col min="1" max="1" width="23.21875" style="175" customWidth="1"/>
    <col min="2" max="2" width="15.33203125" style="175" customWidth="1"/>
    <col min="3" max="5" width="30.77734375" style="139" customWidth="1"/>
    <col min="6" max="8" width="6.44140625" style="139" customWidth="1"/>
    <col min="9" max="9" width="11.5546875" style="139"/>
    <col min="10" max="10" width="11.5546875" style="175"/>
  </cols>
  <sheetData>
    <row r="2" spans="1:9" x14ac:dyDescent="0.3">
      <c r="B2" s="175">
        <v>2</v>
      </c>
      <c r="C2" s="139" t="s">
        <v>390</v>
      </c>
    </row>
    <row r="3" spans="1:9" x14ac:dyDescent="0.3">
      <c r="C3" s="176" t="s">
        <v>0</v>
      </c>
    </row>
    <row r="4" spans="1:9" x14ac:dyDescent="0.3">
      <c r="C4" s="176" t="s">
        <v>1</v>
      </c>
    </row>
    <row r="5" spans="1:9" x14ac:dyDescent="0.3">
      <c r="C5" s="176" t="s">
        <v>340</v>
      </c>
    </row>
    <row r="6" spans="1:9" x14ac:dyDescent="0.3">
      <c r="C6" s="176"/>
    </row>
    <row r="7" spans="1:9" x14ac:dyDescent="0.3">
      <c r="C7" s="176"/>
    </row>
    <row r="8" spans="1:9" x14ac:dyDescent="0.3">
      <c r="C8" s="176"/>
    </row>
    <row r="9" spans="1:9" x14ac:dyDescent="0.3">
      <c r="C9" s="176"/>
    </row>
    <row r="11" spans="1:9" ht="28.8" x14ac:dyDescent="0.3">
      <c r="A11" s="175" t="s">
        <v>391</v>
      </c>
      <c r="B11" s="175">
        <v>0</v>
      </c>
      <c r="C11" s="177" t="s">
        <v>0</v>
      </c>
      <c r="D11" s="178" t="s">
        <v>1</v>
      </c>
      <c r="E11" s="179" t="s">
        <v>340</v>
      </c>
      <c r="F11" s="180"/>
      <c r="G11" s="180"/>
      <c r="H11" s="180"/>
      <c r="I11" s="139" t="s">
        <v>392</v>
      </c>
    </row>
    <row r="12" spans="1:9" ht="15.6" x14ac:dyDescent="0.3">
      <c r="A12" s="175" t="s">
        <v>394</v>
      </c>
      <c r="B12" s="175">
        <f>ROW()-11</f>
        <v>1</v>
      </c>
      <c r="C12" s="181">
        <v>1</v>
      </c>
      <c r="D12" s="181">
        <v>2</v>
      </c>
      <c r="E12" s="181">
        <v>3</v>
      </c>
      <c r="F12" s="181">
        <v>4</v>
      </c>
      <c r="G12" s="181">
        <v>5</v>
      </c>
      <c r="H12" s="181">
        <v>6</v>
      </c>
      <c r="I12" s="181">
        <v>2</v>
      </c>
    </row>
    <row r="13" spans="1:9" x14ac:dyDescent="0.3">
      <c r="A13" s="175" t="s">
        <v>394</v>
      </c>
      <c r="B13" s="175">
        <f t="shared" ref="B13:B74" si="0">ROW()-11</f>
        <v>2</v>
      </c>
      <c r="C13" s="139" t="s">
        <v>41</v>
      </c>
      <c r="D13" s="139" t="s">
        <v>40</v>
      </c>
      <c r="E13" s="139" t="s">
        <v>271</v>
      </c>
    </row>
    <row r="14" spans="1:9" ht="28.8" x14ac:dyDescent="0.3">
      <c r="A14" s="175" t="s">
        <v>394</v>
      </c>
      <c r="B14" s="175">
        <f t="shared" si="0"/>
        <v>3</v>
      </c>
      <c r="C14" s="139" t="s">
        <v>448</v>
      </c>
      <c r="D14" s="139" t="s">
        <v>447</v>
      </c>
      <c r="E14" s="139" t="s">
        <v>449</v>
      </c>
    </row>
    <row r="15" spans="1:9" x14ac:dyDescent="0.3">
      <c r="A15" s="175" t="s">
        <v>394</v>
      </c>
      <c r="B15" s="175">
        <f t="shared" si="0"/>
        <v>4</v>
      </c>
      <c r="C15" s="139" t="s">
        <v>344</v>
      </c>
      <c r="D15" s="139" t="s">
        <v>345</v>
      </c>
      <c r="E15" s="139" t="s">
        <v>346</v>
      </c>
    </row>
    <row r="16" spans="1:9" x14ac:dyDescent="0.3">
      <c r="A16" s="175" t="s">
        <v>394</v>
      </c>
      <c r="B16" s="175">
        <f>ROW()-11</f>
        <v>5</v>
      </c>
      <c r="C16" s="139" t="s">
        <v>356</v>
      </c>
      <c r="D16" s="139" t="s">
        <v>357</v>
      </c>
      <c r="E16" s="139" t="s">
        <v>575</v>
      </c>
    </row>
    <row r="17" spans="1:9" ht="43.2" x14ac:dyDescent="0.3">
      <c r="A17" s="175" t="s">
        <v>394</v>
      </c>
      <c r="B17" s="175">
        <f t="shared" ref="B17" si="1">ROW()-11</f>
        <v>6</v>
      </c>
      <c r="C17" s="182" t="s">
        <v>615</v>
      </c>
      <c r="D17" s="182" t="s">
        <v>615</v>
      </c>
      <c r="E17" s="182" t="s">
        <v>615</v>
      </c>
    </row>
    <row r="18" spans="1:9" x14ac:dyDescent="0.3">
      <c r="A18" s="175" t="s">
        <v>394</v>
      </c>
      <c r="B18" s="175">
        <f t="shared" si="0"/>
        <v>7</v>
      </c>
      <c r="C18" s="139" t="s">
        <v>350</v>
      </c>
      <c r="D18" s="139" t="s">
        <v>351</v>
      </c>
      <c r="E18" s="139" t="s">
        <v>352</v>
      </c>
    </row>
    <row r="19" spans="1:9" x14ac:dyDescent="0.3">
      <c r="A19" s="175" t="s">
        <v>394</v>
      </c>
      <c r="B19" s="175">
        <f t="shared" si="0"/>
        <v>8</v>
      </c>
      <c r="C19" s="139" t="s">
        <v>353</v>
      </c>
      <c r="D19" s="139" t="s">
        <v>354</v>
      </c>
      <c r="E19" s="139" t="s">
        <v>355</v>
      </c>
    </row>
    <row r="20" spans="1:9" x14ac:dyDescent="0.3">
      <c r="A20" s="175" t="s">
        <v>394</v>
      </c>
      <c r="B20" s="175">
        <f t="shared" si="0"/>
        <v>9</v>
      </c>
      <c r="C20" s="182" t="s">
        <v>347</v>
      </c>
      <c r="D20" s="182" t="s">
        <v>348</v>
      </c>
      <c r="E20" s="182" t="s">
        <v>349</v>
      </c>
    </row>
    <row r="21" spans="1:9" x14ac:dyDescent="0.3">
      <c r="A21" s="175" t="s">
        <v>394</v>
      </c>
      <c r="B21" s="175">
        <f t="shared" si="0"/>
        <v>10</v>
      </c>
      <c r="C21" s="139" t="s">
        <v>209</v>
      </c>
      <c r="D21" s="139" t="s">
        <v>208</v>
      </c>
      <c r="E21" s="139" t="s">
        <v>250</v>
      </c>
    </row>
    <row r="22" spans="1:9" x14ac:dyDescent="0.3">
      <c r="A22" s="175" t="s">
        <v>394</v>
      </c>
      <c r="B22" s="175">
        <f t="shared" si="0"/>
        <v>11</v>
      </c>
      <c r="C22" s="139" t="s">
        <v>210</v>
      </c>
      <c r="D22" s="139" t="s">
        <v>211</v>
      </c>
      <c r="E22" s="139" t="s">
        <v>251</v>
      </c>
    </row>
    <row r="23" spans="1:9" x14ac:dyDescent="0.3">
      <c r="A23" s="175" t="s">
        <v>394</v>
      </c>
      <c r="B23" s="175">
        <f t="shared" si="0"/>
        <v>12</v>
      </c>
      <c r="C23" s="139" t="s">
        <v>2</v>
      </c>
      <c r="D23" s="139" t="s">
        <v>3</v>
      </c>
      <c r="E23" s="139" t="s">
        <v>252</v>
      </c>
    </row>
    <row r="24" spans="1:9" x14ac:dyDescent="0.3">
      <c r="A24" s="175" t="s">
        <v>394</v>
      </c>
      <c r="B24" s="175">
        <f t="shared" si="0"/>
        <v>13</v>
      </c>
      <c r="C24" s="139" t="s">
        <v>4</v>
      </c>
      <c r="D24" s="139" t="s">
        <v>5</v>
      </c>
      <c r="E24" s="139" t="s">
        <v>253</v>
      </c>
    </row>
    <row r="25" spans="1:9" x14ac:dyDescent="0.3">
      <c r="A25" s="175" t="s">
        <v>394</v>
      </c>
      <c r="B25" s="175">
        <f t="shared" si="0"/>
        <v>14</v>
      </c>
      <c r="C25" s="139" t="s">
        <v>212</v>
      </c>
      <c r="D25" s="139" t="s">
        <v>213</v>
      </c>
      <c r="E25" s="139" t="s">
        <v>267</v>
      </c>
    </row>
    <row r="26" spans="1:9" x14ac:dyDescent="0.3">
      <c r="A26" s="175" t="s">
        <v>394</v>
      </c>
      <c r="B26" s="175">
        <f t="shared" si="0"/>
        <v>15</v>
      </c>
      <c r="C26" s="139" t="s">
        <v>38</v>
      </c>
      <c r="D26" s="139" t="s">
        <v>39</v>
      </c>
      <c r="E26" s="139" t="s">
        <v>270</v>
      </c>
    </row>
    <row r="27" spans="1:9" x14ac:dyDescent="0.3">
      <c r="A27" s="175" t="s">
        <v>394</v>
      </c>
      <c r="B27" s="175">
        <f t="shared" si="0"/>
        <v>16</v>
      </c>
      <c r="C27" s="139" t="s">
        <v>52</v>
      </c>
      <c r="D27" s="139" t="s">
        <v>53</v>
      </c>
      <c r="E27" s="139" t="s">
        <v>583</v>
      </c>
    </row>
    <row r="28" spans="1:9" ht="43.2" x14ac:dyDescent="0.3">
      <c r="A28" s="175" t="s">
        <v>394</v>
      </c>
      <c r="B28" s="175">
        <f t="shared" si="0"/>
        <v>17</v>
      </c>
      <c r="C28" s="139" t="s">
        <v>196</v>
      </c>
      <c r="D28" s="139" t="s">
        <v>197</v>
      </c>
      <c r="E28" s="139" t="s">
        <v>330</v>
      </c>
    </row>
    <row r="29" spans="1:9" x14ac:dyDescent="0.3">
      <c r="A29" s="175" t="s">
        <v>394</v>
      </c>
      <c r="B29" s="175">
        <f t="shared" si="0"/>
        <v>18</v>
      </c>
    </row>
    <row r="30" spans="1:9" x14ac:dyDescent="0.3">
      <c r="A30" s="175" t="s">
        <v>394</v>
      </c>
      <c r="B30" s="175">
        <f t="shared" si="0"/>
        <v>19</v>
      </c>
    </row>
    <row r="31" spans="1:9" x14ac:dyDescent="0.3">
      <c r="A31" s="175" t="s">
        <v>394</v>
      </c>
      <c r="B31" s="175">
        <f t="shared" si="0"/>
        <v>20</v>
      </c>
      <c r="C31" s="139" t="s">
        <v>0</v>
      </c>
      <c r="D31" s="139" t="s">
        <v>1</v>
      </c>
      <c r="E31" s="139" t="s">
        <v>340</v>
      </c>
      <c r="I31" s="139" t="str">
        <f>IF($B$2=1,$C$31,IF($B$2=2,$D$31,IF($B$2=3,$E$31)))</f>
        <v>English</v>
      </c>
    </row>
    <row r="32" spans="1:9" x14ac:dyDescent="0.3">
      <c r="A32" s="175" t="s">
        <v>394</v>
      </c>
      <c r="B32" s="175">
        <f t="shared" si="0"/>
        <v>21</v>
      </c>
    </row>
    <row r="33" spans="1:9" x14ac:dyDescent="0.3">
      <c r="A33" s="175" t="s">
        <v>394</v>
      </c>
      <c r="B33" s="175">
        <f t="shared" si="0"/>
        <v>22</v>
      </c>
    </row>
    <row r="34" spans="1:9" x14ac:dyDescent="0.3">
      <c r="A34" s="175" t="s">
        <v>394</v>
      </c>
      <c r="B34" s="175">
        <f t="shared" si="0"/>
        <v>23</v>
      </c>
    </row>
    <row r="35" spans="1:9" x14ac:dyDescent="0.3">
      <c r="A35" s="175" t="s">
        <v>394</v>
      </c>
      <c r="B35" s="175">
        <f t="shared" si="0"/>
        <v>24</v>
      </c>
    </row>
    <row r="36" spans="1:9" x14ac:dyDescent="0.3">
      <c r="A36" s="175" t="s">
        <v>394</v>
      </c>
      <c r="B36" s="175">
        <f t="shared" si="0"/>
        <v>25</v>
      </c>
    </row>
    <row r="37" spans="1:9" x14ac:dyDescent="0.3">
      <c r="A37" s="183" t="s">
        <v>381</v>
      </c>
      <c r="B37" s="183">
        <f t="shared" si="0"/>
        <v>26</v>
      </c>
      <c r="C37" s="184" t="s">
        <v>42</v>
      </c>
      <c r="D37" s="184" t="s">
        <v>42</v>
      </c>
      <c r="E37" s="184" t="s">
        <v>341</v>
      </c>
      <c r="F37" s="184"/>
      <c r="G37" s="184"/>
      <c r="H37" s="184"/>
      <c r="I37" s="184"/>
    </row>
    <row r="38" spans="1:9" x14ac:dyDescent="0.3">
      <c r="A38" s="175" t="s">
        <v>381</v>
      </c>
      <c r="B38" s="175">
        <f t="shared" si="0"/>
        <v>27</v>
      </c>
      <c r="C38" s="139" t="s">
        <v>43</v>
      </c>
      <c r="D38" s="139" t="s">
        <v>43</v>
      </c>
      <c r="E38" s="139" t="s">
        <v>342</v>
      </c>
    </row>
    <row r="39" spans="1:9" x14ac:dyDescent="0.3">
      <c r="A39" s="175" t="s">
        <v>381</v>
      </c>
      <c r="B39" s="175">
        <f t="shared" si="0"/>
        <v>28</v>
      </c>
      <c r="C39" s="139" t="s">
        <v>6</v>
      </c>
      <c r="D39" s="139" t="s">
        <v>7</v>
      </c>
      <c r="E39" s="139" t="s">
        <v>576</v>
      </c>
    </row>
    <row r="40" spans="1:9" ht="28.8" x14ac:dyDescent="0.3">
      <c r="A40" s="175" t="s">
        <v>381</v>
      </c>
      <c r="B40" s="175">
        <f t="shared" si="0"/>
        <v>29</v>
      </c>
      <c r="C40" s="139" t="s">
        <v>11</v>
      </c>
      <c r="D40" s="139" t="s">
        <v>12</v>
      </c>
      <c r="E40" s="139" t="s">
        <v>255</v>
      </c>
    </row>
    <row r="41" spans="1:9" x14ac:dyDescent="0.3">
      <c r="A41" s="175" t="s">
        <v>381</v>
      </c>
      <c r="B41" s="175">
        <f t="shared" si="0"/>
        <v>30</v>
      </c>
      <c r="C41" s="139" t="s">
        <v>8</v>
      </c>
      <c r="D41" s="139" t="s">
        <v>8</v>
      </c>
      <c r="E41" s="139" t="s">
        <v>254</v>
      </c>
    </row>
    <row r="42" spans="1:9" x14ac:dyDescent="0.3">
      <c r="A42" s="175" t="s">
        <v>381</v>
      </c>
      <c r="B42" s="175">
        <f t="shared" si="0"/>
        <v>31</v>
      </c>
      <c r="C42" s="139" t="s">
        <v>9</v>
      </c>
      <c r="D42" s="139" t="s">
        <v>10</v>
      </c>
      <c r="E42" s="139" t="s">
        <v>9</v>
      </c>
    </row>
    <row r="43" spans="1:9" x14ac:dyDescent="0.3">
      <c r="A43" s="175" t="s">
        <v>381</v>
      </c>
      <c r="B43" s="175">
        <f t="shared" si="0"/>
        <v>32</v>
      </c>
    </row>
    <row r="44" spans="1:9" x14ac:dyDescent="0.3">
      <c r="A44" s="175" t="s">
        <v>381</v>
      </c>
      <c r="B44" s="175">
        <f t="shared" si="0"/>
        <v>33</v>
      </c>
    </row>
    <row r="45" spans="1:9" x14ac:dyDescent="0.3">
      <c r="A45" s="183" t="s">
        <v>382</v>
      </c>
      <c r="B45" s="183">
        <f t="shared" si="0"/>
        <v>34</v>
      </c>
      <c r="C45" s="184" t="s">
        <v>73</v>
      </c>
      <c r="D45" s="184" t="s">
        <v>72</v>
      </c>
      <c r="E45" s="184" t="s">
        <v>256</v>
      </c>
      <c r="F45" s="184"/>
      <c r="G45" s="184"/>
      <c r="H45" s="184"/>
      <c r="I45" s="184"/>
    </row>
    <row r="46" spans="1:9" ht="28.8" x14ac:dyDescent="0.3">
      <c r="A46" s="175" t="s">
        <v>382</v>
      </c>
      <c r="B46" s="175">
        <f t="shared" si="0"/>
        <v>35</v>
      </c>
      <c r="C46" s="139" t="s">
        <v>56</v>
      </c>
      <c r="D46" s="139" t="s">
        <v>57</v>
      </c>
      <c r="E46" s="139" t="s">
        <v>272</v>
      </c>
    </row>
    <row r="47" spans="1:9" x14ac:dyDescent="0.3">
      <c r="A47" s="175" t="s">
        <v>382</v>
      </c>
      <c r="B47" s="175">
        <f t="shared" si="0"/>
        <v>36</v>
      </c>
      <c r="C47" s="139" t="s">
        <v>59</v>
      </c>
      <c r="D47" s="139" t="s">
        <v>63</v>
      </c>
      <c r="E47" s="139" t="s">
        <v>273</v>
      </c>
    </row>
    <row r="48" spans="1:9" x14ac:dyDescent="0.3">
      <c r="A48" s="175" t="s">
        <v>382</v>
      </c>
      <c r="B48" s="175">
        <f t="shared" si="0"/>
        <v>37</v>
      </c>
      <c r="C48" s="139" t="s">
        <v>60</v>
      </c>
      <c r="D48" s="139" t="s">
        <v>64</v>
      </c>
      <c r="E48" s="139" t="s">
        <v>274</v>
      </c>
    </row>
    <row r="49" spans="1:11" x14ac:dyDescent="0.3">
      <c r="A49" s="175" t="s">
        <v>382</v>
      </c>
      <c r="B49" s="175">
        <f t="shared" si="0"/>
        <v>38</v>
      </c>
      <c r="C49" s="139" t="s">
        <v>61</v>
      </c>
      <c r="D49" s="139" t="s">
        <v>65</v>
      </c>
      <c r="E49" s="139" t="s">
        <v>275</v>
      </c>
    </row>
    <row r="50" spans="1:11" ht="28.8" x14ac:dyDescent="0.3">
      <c r="A50" s="175" t="s">
        <v>382</v>
      </c>
      <c r="B50" s="175">
        <f t="shared" si="0"/>
        <v>39</v>
      </c>
      <c r="C50" s="139" t="s">
        <v>62</v>
      </c>
      <c r="D50" s="139" t="s">
        <v>66</v>
      </c>
      <c r="E50" s="139" t="s">
        <v>276</v>
      </c>
    </row>
    <row r="51" spans="1:11" x14ac:dyDescent="0.3">
      <c r="A51" s="175" t="s">
        <v>382</v>
      </c>
      <c r="B51" s="175">
        <f t="shared" si="0"/>
        <v>40</v>
      </c>
      <c r="C51" s="139" t="s">
        <v>58</v>
      </c>
      <c r="D51" s="139" t="s">
        <v>67</v>
      </c>
      <c r="E51" s="139" t="s">
        <v>277</v>
      </c>
    </row>
    <row r="52" spans="1:11" x14ac:dyDescent="0.3">
      <c r="A52" s="175" t="s">
        <v>382</v>
      </c>
      <c r="B52" s="175">
        <f t="shared" si="0"/>
        <v>41</v>
      </c>
      <c r="C52" s="139" t="s">
        <v>68</v>
      </c>
      <c r="D52" s="139" t="s">
        <v>69</v>
      </c>
      <c r="E52" s="139" t="s">
        <v>278</v>
      </c>
    </row>
    <row r="53" spans="1:11" x14ac:dyDescent="0.3">
      <c r="A53" s="175" t="s">
        <v>382</v>
      </c>
      <c r="B53" s="175">
        <f t="shared" si="0"/>
        <v>42</v>
      </c>
      <c r="C53" s="139" t="s">
        <v>54</v>
      </c>
      <c r="D53" s="139" t="s">
        <v>55</v>
      </c>
      <c r="E53" s="139" t="s">
        <v>257</v>
      </c>
    </row>
    <row r="54" spans="1:11" ht="28.8" x14ac:dyDescent="0.3">
      <c r="A54" s="175" t="s">
        <v>382</v>
      </c>
      <c r="B54" s="175">
        <f t="shared" si="0"/>
        <v>43</v>
      </c>
      <c r="C54" s="139" t="s">
        <v>358</v>
      </c>
      <c r="D54" s="139" t="s">
        <v>360</v>
      </c>
      <c r="E54" s="139" t="s">
        <v>362</v>
      </c>
    </row>
    <row r="55" spans="1:11" ht="28.8" x14ac:dyDescent="0.3">
      <c r="A55" s="175" t="s">
        <v>382</v>
      </c>
      <c r="B55" s="175">
        <f t="shared" si="0"/>
        <v>44</v>
      </c>
      <c r="C55" s="139" t="s">
        <v>359</v>
      </c>
      <c r="D55" s="139" t="s">
        <v>361</v>
      </c>
      <c r="E55" s="139" t="s">
        <v>363</v>
      </c>
    </row>
    <row r="56" spans="1:11" ht="28.8" x14ac:dyDescent="0.3">
      <c r="A56" s="175" t="s">
        <v>382</v>
      </c>
      <c r="B56" s="175">
        <f t="shared" si="0"/>
        <v>45</v>
      </c>
      <c r="C56" s="139" t="s">
        <v>13</v>
      </c>
      <c r="D56" s="139" t="s">
        <v>14</v>
      </c>
      <c r="E56" s="139" t="s">
        <v>258</v>
      </c>
    </row>
    <row r="57" spans="1:11" x14ac:dyDescent="0.3">
      <c r="A57" s="175" t="s">
        <v>382</v>
      </c>
      <c r="B57" s="175">
        <f t="shared" si="0"/>
        <v>46</v>
      </c>
      <c r="C57" s="139" t="s">
        <v>19</v>
      </c>
      <c r="D57" s="139" t="s">
        <v>20</v>
      </c>
      <c r="E57" s="139" t="s">
        <v>260</v>
      </c>
    </row>
    <row r="58" spans="1:11" ht="28.8" x14ac:dyDescent="0.3">
      <c r="A58" s="175" t="s">
        <v>382</v>
      </c>
      <c r="B58" s="175">
        <f t="shared" si="0"/>
        <v>47</v>
      </c>
      <c r="C58" s="139" t="s">
        <v>364</v>
      </c>
      <c r="D58" s="139" t="s">
        <v>365</v>
      </c>
      <c r="E58" s="139" t="s">
        <v>366</v>
      </c>
    </row>
    <row r="59" spans="1:11" x14ac:dyDescent="0.3">
      <c r="A59" s="175" t="s">
        <v>382</v>
      </c>
      <c r="B59" s="175">
        <f t="shared" si="0"/>
        <v>48</v>
      </c>
      <c r="C59" s="139" t="s">
        <v>15</v>
      </c>
      <c r="D59" s="139" t="s">
        <v>16</v>
      </c>
      <c r="E59" s="139" t="s">
        <v>319</v>
      </c>
    </row>
    <row r="60" spans="1:11" x14ac:dyDescent="0.3">
      <c r="A60" s="175" t="s">
        <v>382</v>
      </c>
      <c r="B60" s="175">
        <f t="shared" si="0"/>
        <v>49</v>
      </c>
      <c r="C60" s="182" t="s">
        <v>17</v>
      </c>
      <c r="D60" s="182" t="s">
        <v>18</v>
      </c>
      <c r="E60" s="182" t="s">
        <v>259</v>
      </c>
    </row>
    <row r="61" spans="1:11" ht="28.8" x14ac:dyDescent="0.3">
      <c r="A61" s="175" t="s">
        <v>382</v>
      </c>
      <c r="B61" s="175">
        <f t="shared" si="0"/>
        <v>50</v>
      </c>
      <c r="C61" s="139" t="s">
        <v>177</v>
      </c>
      <c r="D61" s="139" t="s">
        <v>178</v>
      </c>
      <c r="E61" s="139" t="s">
        <v>323</v>
      </c>
    </row>
    <row r="62" spans="1:11" s="139" customFormat="1" x14ac:dyDescent="0.3">
      <c r="A62" s="175" t="s">
        <v>382</v>
      </c>
      <c r="B62" s="175">
        <f t="shared" si="0"/>
        <v>51</v>
      </c>
      <c r="J62" s="175"/>
      <c r="K62"/>
    </row>
    <row r="63" spans="1:11" x14ac:dyDescent="0.3">
      <c r="A63" s="175" t="s">
        <v>382</v>
      </c>
      <c r="B63" s="175">
        <f t="shared" si="0"/>
        <v>52</v>
      </c>
      <c r="C63" s="182"/>
      <c r="D63" s="182"/>
      <c r="E63" s="182"/>
    </row>
    <row r="64" spans="1:11" x14ac:dyDescent="0.3">
      <c r="A64" s="175" t="s">
        <v>382</v>
      </c>
      <c r="B64" s="175">
        <f t="shared" si="0"/>
        <v>53</v>
      </c>
      <c r="C64" s="182"/>
      <c r="D64" s="182"/>
      <c r="E64" s="182"/>
    </row>
    <row r="65" spans="1:9" x14ac:dyDescent="0.3">
      <c r="A65" s="175" t="s">
        <v>382</v>
      </c>
      <c r="B65" s="175">
        <f t="shared" si="0"/>
        <v>54</v>
      </c>
      <c r="C65" s="182"/>
      <c r="D65" s="182"/>
      <c r="E65" s="182"/>
    </row>
    <row r="66" spans="1:9" x14ac:dyDescent="0.3">
      <c r="A66" s="175" t="s">
        <v>382</v>
      </c>
      <c r="B66" s="175">
        <f t="shared" si="0"/>
        <v>55</v>
      </c>
      <c r="C66" s="182"/>
      <c r="D66" s="182"/>
      <c r="E66" s="182"/>
    </row>
    <row r="67" spans="1:9" x14ac:dyDescent="0.3">
      <c r="A67" s="183" t="s">
        <v>383</v>
      </c>
      <c r="B67" s="183">
        <f t="shared" si="0"/>
        <v>56</v>
      </c>
      <c r="C67" s="184" t="s">
        <v>70</v>
      </c>
      <c r="D67" s="184" t="s">
        <v>71</v>
      </c>
      <c r="E67" s="184" t="s">
        <v>261</v>
      </c>
      <c r="F67" s="184"/>
      <c r="G67" s="184"/>
      <c r="H67" s="184"/>
      <c r="I67" s="184"/>
    </row>
    <row r="68" spans="1:9" x14ac:dyDescent="0.3">
      <c r="A68" s="175" t="s">
        <v>383</v>
      </c>
      <c r="B68" s="175">
        <f t="shared" si="0"/>
        <v>57</v>
      </c>
      <c r="C68" s="185" t="s">
        <v>45</v>
      </c>
      <c r="D68" s="185" t="s">
        <v>46</v>
      </c>
      <c r="E68" s="185" t="s">
        <v>298</v>
      </c>
    </row>
    <row r="69" spans="1:9" x14ac:dyDescent="0.3">
      <c r="A69" s="175" t="s">
        <v>383</v>
      </c>
      <c r="B69" s="175">
        <f t="shared" si="0"/>
        <v>58</v>
      </c>
      <c r="C69" s="139" t="s">
        <v>21</v>
      </c>
      <c r="D69" s="139" t="s">
        <v>22</v>
      </c>
      <c r="E69" s="139" t="s">
        <v>262</v>
      </c>
    </row>
    <row r="70" spans="1:9" x14ac:dyDescent="0.3">
      <c r="A70" s="175" t="s">
        <v>383</v>
      </c>
      <c r="B70" s="175">
        <f t="shared" si="0"/>
        <v>59</v>
      </c>
      <c r="C70" s="139" t="s">
        <v>23</v>
      </c>
      <c r="D70" s="139" t="s">
        <v>24</v>
      </c>
      <c r="E70" s="139" t="s">
        <v>263</v>
      </c>
    </row>
    <row r="71" spans="1:9" x14ac:dyDescent="0.3">
      <c r="A71" s="175" t="s">
        <v>383</v>
      </c>
      <c r="B71" s="175">
        <f t="shared" si="0"/>
        <v>60</v>
      </c>
      <c r="C71" s="185" t="s">
        <v>25</v>
      </c>
      <c r="D71" s="185" t="s">
        <v>25</v>
      </c>
      <c r="E71" s="185" t="s">
        <v>25</v>
      </c>
    </row>
    <row r="72" spans="1:9" x14ac:dyDescent="0.3">
      <c r="A72" s="175" t="s">
        <v>383</v>
      </c>
      <c r="B72" s="175">
        <f t="shared" si="0"/>
        <v>61</v>
      </c>
      <c r="C72" s="185" t="s">
        <v>26</v>
      </c>
      <c r="D72" s="185" t="s">
        <v>26</v>
      </c>
      <c r="E72" s="185" t="s">
        <v>26</v>
      </c>
    </row>
    <row r="73" spans="1:9" x14ac:dyDescent="0.3">
      <c r="A73" s="175" t="s">
        <v>383</v>
      </c>
      <c r="B73" s="175">
        <f t="shared" si="0"/>
        <v>62</v>
      </c>
      <c r="C73" s="185" t="s">
        <v>571</v>
      </c>
      <c r="D73" s="185" t="s">
        <v>572</v>
      </c>
      <c r="E73" s="185" t="s">
        <v>573</v>
      </c>
    </row>
    <row r="74" spans="1:9" x14ac:dyDescent="0.3">
      <c r="A74" s="175" t="s">
        <v>383</v>
      </c>
      <c r="B74" s="175">
        <f t="shared" si="0"/>
        <v>63</v>
      </c>
      <c r="C74" s="185" t="s">
        <v>27</v>
      </c>
      <c r="D74" s="185" t="s">
        <v>28</v>
      </c>
      <c r="E74" s="185" t="s">
        <v>264</v>
      </c>
    </row>
    <row r="75" spans="1:9" x14ac:dyDescent="0.3">
      <c r="A75" s="175" t="s">
        <v>383</v>
      </c>
      <c r="B75" s="175">
        <f t="shared" ref="B75:B150" si="2">ROW()-11</f>
        <v>64</v>
      </c>
      <c r="C75" s="185" t="s">
        <v>29</v>
      </c>
      <c r="D75" s="185" t="s">
        <v>30</v>
      </c>
      <c r="E75" s="185" t="s">
        <v>265</v>
      </c>
    </row>
    <row r="76" spans="1:9" x14ac:dyDescent="0.3">
      <c r="A76" s="175" t="s">
        <v>383</v>
      </c>
      <c r="B76" s="175">
        <f t="shared" si="2"/>
        <v>65</v>
      </c>
      <c r="C76" s="185" t="s">
        <v>31</v>
      </c>
      <c r="D76" s="185" t="s">
        <v>32</v>
      </c>
      <c r="E76" s="185" t="s">
        <v>266</v>
      </c>
    </row>
    <row r="77" spans="1:9" ht="43.2" x14ac:dyDescent="0.3">
      <c r="A77" s="175" t="s">
        <v>383</v>
      </c>
      <c r="B77" s="175">
        <f t="shared" si="2"/>
        <v>66</v>
      </c>
      <c r="C77" s="139" t="s">
        <v>33</v>
      </c>
      <c r="D77" s="139" t="s">
        <v>34</v>
      </c>
      <c r="E77" s="139" t="s">
        <v>577</v>
      </c>
    </row>
    <row r="78" spans="1:9" x14ac:dyDescent="0.3">
      <c r="A78" s="175" t="s">
        <v>383</v>
      </c>
      <c r="B78" s="175">
        <f t="shared" si="2"/>
        <v>67</v>
      </c>
      <c r="C78" s="139" t="s">
        <v>414</v>
      </c>
      <c r="D78" s="139" t="s">
        <v>415</v>
      </c>
      <c r="E78" s="139" t="s">
        <v>578</v>
      </c>
    </row>
    <row r="79" spans="1:9" x14ac:dyDescent="0.3">
      <c r="A79" s="175" t="s">
        <v>383</v>
      </c>
      <c r="B79" s="175">
        <f t="shared" si="2"/>
        <v>68</v>
      </c>
      <c r="C79" s="139" t="s">
        <v>35</v>
      </c>
      <c r="D79" s="139" t="s">
        <v>24</v>
      </c>
      <c r="E79" s="139" t="s">
        <v>263</v>
      </c>
    </row>
    <row r="80" spans="1:9" ht="28.8" x14ac:dyDescent="0.3">
      <c r="A80" s="175" t="s">
        <v>383</v>
      </c>
      <c r="B80" s="175">
        <f t="shared" si="2"/>
        <v>69</v>
      </c>
      <c r="C80" s="139" t="s">
        <v>223</v>
      </c>
      <c r="D80" s="139" t="s">
        <v>222</v>
      </c>
      <c r="E80" s="139" t="s">
        <v>579</v>
      </c>
    </row>
    <row r="81" spans="1:10" x14ac:dyDescent="0.3">
      <c r="A81" s="175" t="s">
        <v>383</v>
      </c>
      <c r="B81" s="175">
        <f t="shared" si="2"/>
        <v>70</v>
      </c>
      <c r="C81" s="139" t="s">
        <v>36</v>
      </c>
      <c r="D81" s="139" t="s">
        <v>37</v>
      </c>
      <c r="E81" s="139" t="s">
        <v>269</v>
      </c>
    </row>
    <row r="82" spans="1:10" x14ac:dyDescent="0.3">
      <c r="A82" s="175" t="s">
        <v>383</v>
      </c>
      <c r="B82" s="175">
        <f t="shared" si="2"/>
        <v>71</v>
      </c>
      <c r="C82" s="139" t="s">
        <v>214</v>
      </c>
      <c r="D82" s="139" t="s">
        <v>215</v>
      </c>
      <c r="E82" s="139" t="s">
        <v>268</v>
      </c>
    </row>
    <row r="83" spans="1:10" x14ac:dyDescent="0.3">
      <c r="A83" s="175" t="s">
        <v>383</v>
      </c>
      <c r="B83" s="175">
        <f t="shared" si="2"/>
        <v>72</v>
      </c>
    </row>
    <row r="84" spans="1:10" x14ac:dyDescent="0.3">
      <c r="A84" s="175" t="s">
        <v>383</v>
      </c>
      <c r="B84" s="175">
        <f t="shared" si="2"/>
        <v>73</v>
      </c>
    </row>
    <row r="85" spans="1:10" x14ac:dyDescent="0.3">
      <c r="A85" s="175" t="s">
        <v>383</v>
      </c>
      <c r="B85" s="175">
        <f t="shared" si="2"/>
        <v>74</v>
      </c>
    </row>
    <row r="86" spans="1:10" x14ac:dyDescent="0.3">
      <c r="A86" s="183" t="s">
        <v>384</v>
      </c>
      <c r="B86" s="183">
        <f t="shared" si="2"/>
        <v>75</v>
      </c>
      <c r="C86" s="184" t="s">
        <v>74</v>
      </c>
      <c r="D86" s="184" t="s">
        <v>75</v>
      </c>
      <c r="E86" s="184" t="s">
        <v>279</v>
      </c>
      <c r="F86" s="184"/>
      <c r="G86" s="184"/>
      <c r="H86" s="184"/>
      <c r="I86" s="184"/>
    </row>
    <row r="87" spans="1:10" ht="28.8" x14ac:dyDescent="0.3">
      <c r="A87" s="175" t="s">
        <v>384</v>
      </c>
      <c r="B87" s="175">
        <f t="shared" si="2"/>
        <v>76</v>
      </c>
      <c r="C87" s="139" t="s">
        <v>77</v>
      </c>
      <c r="D87" s="139" t="s">
        <v>76</v>
      </c>
      <c r="E87" s="139" t="s">
        <v>280</v>
      </c>
    </row>
    <row r="88" spans="1:10" ht="28.8" x14ac:dyDescent="0.3">
      <c r="A88" s="175" t="s">
        <v>384</v>
      </c>
      <c r="B88" s="175">
        <f t="shared" si="2"/>
        <v>77</v>
      </c>
      <c r="C88" s="139" t="s">
        <v>78</v>
      </c>
      <c r="D88" s="139" t="s">
        <v>79</v>
      </c>
      <c r="E88" s="139" t="s">
        <v>281</v>
      </c>
      <c r="J88" s="186"/>
    </row>
    <row r="89" spans="1:10" ht="28.8" x14ac:dyDescent="0.3">
      <c r="A89" s="175" t="s">
        <v>384</v>
      </c>
      <c r="B89" s="175">
        <f t="shared" si="2"/>
        <v>78</v>
      </c>
      <c r="C89" s="139" t="s">
        <v>88</v>
      </c>
      <c r="D89" s="139" t="s">
        <v>89</v>
      </c>
      <c r="E89" s="139" t="s">
        <v>580</v>
      </c>
      <c r="J89" s="186"/>
    </row>
    <row r="90" spans="1:10" x14ac:dyDescent="0.3">
      <c r="A90" s="175" t="s">
        <v>384</v>
      </c>
      <c r="B90" s="175">
        <f t="shared" si="2"/>
        <v>79</v>
      </c>
      <c r="C90" s="185" t="s">
        <v>80</v>
      </c>
      <c r="D90" s="185" t="s">
        <v>83</v>
      </c>
      <c r="E90" s="185" t="s">
        <v>282</v>
      </c>
      <c r="J90" s="186"/>
    </row>
    <row r="91" spans="1:10" x14ac:dyDescent="0.3">
      <c r="A91" s="175" t="s">
        <v>384</v>
      </c>
      <c r="B91" s="175">
        <f t="shared" si="2"/>
        <v>80</v>
      </c>
      <c r="C91" s="185" t="s">
        <v>81</v>
      </c>
      <c r="D91" s="185" t="s">
        <v>82</v>
      </c>
      <c r="E91" s="185" t="s">
        <v>283</v>
      </c>
      <c r="J91" s="186"/>
    </row>
    <row r="92" spans="1:10" ht="28.8" x14ac:dyDescent="0.3">
      <c r="A92" s="175" t="s">
        <v>384</v>
      </c>
      <c r="B92" s="175">
        <f t="shared" si="2"/>
        <v>81</v>
      </c>
      <c r="C92" s="139" t="s">
        <v>84</v>
      </c>
      <c r="D92" s="139" t="s">
        <v>85</v>
      </c>
      <c r="E92" s="139" t="s">
        <v>284</v>
      </c>
      <c r="J92" s="186"/>
    </row>
    <row r="93" spans="1:10" ht="28.8" x14ac:dyDescent="0.3">
      <c r="A93" s="175" t="s">
        <v>384</v>
      </c>
      <c r="B93" s="175">
        <f t="shared" si="2"/>
        <v>82</v>
      </c>
      <c r="C93" s="139" t="s">
        <v>86</v>
      </c>
      <c r="D93" s="139" t="s">
        <v>87</v>
      </c>
      <c r="E93" s="139" t="s">
        <v>285</v>
      </c>
      <c r="J93" s="186"/>
    </row>
    <row r="94" spans="1:10" ht="43.2" x14ac:dyDescent="0.3">
      <c r="A94" s="175" t="s">
        <v>384</v>
      </c>
      <c r="B94" s="175">
        <f t="shared" si="2"/>
        <v>83</v>
      </c>
      <c r="C94" s="139" t="s">
        <v>90</v>
      </c>
      <c r="D94" s="139" t="s">
        <v>91</v>
      </c>
      <c r="E94" s="139" t="s">
        <v>581</v>
      </c>
      <c r="J94" s="186"/>
    </row>
    <row r="95" spans="1:10" x14ac:dyDescent="0.3">
      <c r="A95" s="175" t="s">
        <v>384</v>
      </c>
      <c r="B95" s="175">
        <f t="shared" si="2"/>
        <v>84</v>
      </c>
      <c r="C95" s="139" t="s">
        <v>49</v>
      </c>
      <c r="D95" s="139" t="s">
        <v>48</v>
      </c>
      <c r="E95" s="139" t="s">
        <v>343</v>
      </c>
    </row>
    <row r="96" spans="1:10" x14ac:dyDescent="0.3">
      <c r="A96" s="175" t="s">
        <v>384</v>
      </c>
      <c r="B96" s="175">
        <f t="shared" si="2"/>
        <v>85</v>
      </c>
      <c r="C96" s="139" t="s">
        <v>51</v>
      </c>
      <c r="D96" s="139" t="s">
        <v>50</v>
      </c>
      <c r="E96" s="139" t="s">
        <v>320</v>
      </c>
    </row>
    <row r="97" spans="1:10" x14ac:dyDescent="0.3">
      <c r="A97" s="175" t="s">
        <v>384</v>
      </c>
      <c r="B97" s="175">
        <f t="shared" si="2"/>
        <v>86</v>
      </c>
      <c r="C97" s="139" t="s">
        <v>52</v>
      </c>
      <c r="D97" s="139" t="s">
        <v>53</v>
      </c>
      <c r="E97" s="139" t="s">
        <v>582</v>
      </c>
    </row>
    <row r="98" spans="1:10" ht="28.8" x14ac:dyDescent="0.3">
      <c r="A98" s="175" t="s">
        <v>384</v>
      </c>
      <c r="B98" s="175">
        <f t="shared" si="2"/>
        <v>87</v>
      </c>
      <c r="C98" s="139" t="s">
        <v>92</v>
      </c>
      <c r="D98" s="139" t="s">
        <v>93</v>
      </c>
      <c r="E98" s="139" t="s">
        <v>286</v>
      </c>
    </row>
    <row r="99" spans="1:10" x14ac:dyDescent="0.3">
      <c r="A99" s="175" t="s">
        <v>384</v>
      </c>
      <c r="B99" s="175">
        <f t="shared" si="2"/>
        <v>88</v>
      </c>
    </row>
    <row r="100" spans="1:10" x14ac:dyDescent="0.3">
      <c r="A100" s="175" t="s">
        <v>384</v>
      </c>
      <c r="B100" s="175">
        <f t="shared" si="2"/>
        <v>89</v>
      </c>
    </row>
    <row r="101" spans="1:10" x14ac:dyDescent="0.3">
      <c r="A101" s="175" t="s">
        <v>384</v>
      </c>
      <c r="B101" s="175">
        <f t="shared" si="2"/>
        <v>90</v>
      </c>
    </row>
    <row r="102" spans="1:10" x14ac:dyDescent="0.3">
      <c r="A102" s="175" t="s">
        <v>384</v>
      </c>
      <c r="B102" s="175">
        <f t="shared" si="2"/>
        <v>91</v>
      </c>
    </row>
    <row r="103" spans="1:10" x14ac:dyDescent="0.3">
      <c r="A103" s="175" t="s">
        <v>384</v>
      </c>
      <c r="B103" s="175">
        <f t="shared" si="2"/>
        <v>92</v>
      </c>
    </row>
    <row r="104" spans="1:10" ht="28.8" x14ac:dyDescent="0.3">
      <c r="A104" s="183" t="s">
        <v>385</v>
      </c>
      <c r="B104" s="183">
        <f t="shared" si="2"/>
        <v>93</v>
      </c>
      <c r="C104" s="184" t="s">
        <v>95</v>
      </c>
      <c r="D104" s="184" t="s">
        <v>94</v>
      </c>
      <c r="E104" s="184" t="s">
        <v>287</v>
      </c>
      <c r="F104" s="184"/>
      <c r="G104" s="184"/>
      <c r="H104" s="184"/>
      <c r="I104" s="184"/>
    </row>
    <row r="105" spans="1:10" ht="28.8" x14ac:dyDescent="0.3">
      <c r="A105" s="175" t="s">
        <v>385</v>
      </c>
      <c r="B105" s="175">
        <f t="shared" si="2"/>
        <v>94</v>
      </c>
      <c r="C105" s="139" t="s">
        <v>96</v>
      </c>
      <c r="D105" s="139" t="s">
        <v>98</v>
      </c>
      <c r="E105" s="139" t="s">
        <v>584</v>
      </c>
    </row>
    <row r="106" spans="1:10" ht="28.8" x14ac:dyDescent="0.3">
      <c r="A106" s="175" t="s">
        <v>385</v>
      </c>
      <c r="B106" s="175">
        <f t="shared" si="2"/>
        <v>95</v>
      </c>
      <c r="C106" s="139" t="s">
        <v>97</v>
      </c>
      <c r="D106" s="139" t="s">
        <v>99</v>
      </c>
      <c r="E106" s="139" t="s">
        <v>585</v>
      </c>
    </row>
    <row r="107" spans="1:10" x14ac:dyDescent="0.3">
      <c r="A107" s="175" t="s">
        <v>385</v>
      </c>
      <c r="B107" s="175">
        <f t="shared" si="2"/>
        <v>96</v>
      </c>
      <c r="C107" s="185" t="s">
        <v>202</v>
      </c>
      <c r="D107" s="185" t="s">
        <v>204</v>
      </c>
      <c r="E107" s="185" t="s">
        <v>331</v>
      </c>
    </row>
    <row r="108" spans="1:10" x14ac:dyDescent="0.3">
      <c r="A108" s="175" t="s">
        <v>385</v>
      </c>
      <c r="B108" s="175">
        <f t="shared" si="2"/>
        <v>97</v>
      </c>
      <c r="C108" s="185" t="s">
        <v>35</v>
      </c>
      <c r="D108" s="185" t="s">
        <v>24</v>
      </c>
      <c r="E108" s="185" t="s">
        <v>263</v>
      </c>
    </row>
    <row r="109" spans="1:10" x14ac:dyDescent="0.3">
      <c r="A109" s="175" t="s">
        <v>385</v>
      </c>
      <c r="B109" s="175">
        <f t="shared" si="2"/>
        <v>98</v>
      </c>
      <c r="C109" s="185" t="s">
        <v>203</v>
      </c>
      <c r="D109" s="185" t="s">
        <v>205</v>
      </c>
      <c r="E109" s="185" t="s">
        <v>332</v>
      </c>
    </row>
    <row r="110" spans="1:10" x14ac:dyDescent="0.3">
      <c r="A110" s="175" t="s">
        <v>385</v>
      </c>
      <c r="B110" s="175">
        <f t="shared" si="2"/>
        <v>99</v>
      </c>
      <c r="J110" s="186"/>
    </row>
    <row r="111" spans="1:10" x14ac:dyDescent="0.3">
      <c r="A111" s="175" t="s">
        <v>385</v>
      </c>
      <c r="B111" s="175">
        <f t="shared" si="2"/>
        <v>100</v>
      </c>
      <c r="J111" s="186"/>
    </row>
    <row r="112" spans="1:10" x14ac:dyDescent="0.3">
      <c r="A112" s="175" t="s">
        <v>385</v>
      </c>
      <c r="B112" s="175">
        <f t="shared" si="2"/>
        <v>101</v>
      </c>
    </row>
    <row r="113" spans="1:9" x14ac:dyDescent="0.3">
      <c r="A113" s="175" t="s">
        <v>385</v>
      </c>
      <c r="B113" s="175">
        <f t="shared" si="2"/>
        <v>102</v>
      </c>
    </row>
    <row r="114" spans="1:9" x14ac:dyDescent="0.3">
      <c r="A114" s="175" t="s">
        <v>385</v>
      </c>
      <c r="B114" s="175">
        <f t="shared" si="2"/>
        <v>103</v>
      </c>
    </row>
    <row r="115" spans="1:9" ht="28.8" x14ac:dyDescent="0.3">
      <c r="A115" s="183" t="s">
        <v>386</v>
      </c>
      <c r="B115" s="183">
        <f t="shared" si="2"/>
        <v>104</v>
      </c>
      <c r="C115" s="184" t="s">
        <v>102</v>
      </c>
      <c r="D115" s="184" t="s">
        <v>103</v>
      </c>
      <c r="E115" s="184" t="s">
        <v>289</v>
      </c>
      <c r="F115" s="184"/>
      <c r="G115" s="184"/>
      <c r="H115" s="184"/>
      <c r="I115" s="184"/>
    </row>
    <row r="116" spans="1:9" ht="28.8" x14ac:dyDescent="0.3">
      <c r="A116" s="175" t="s">
        <v>386</v>
      </c>
      <c r="B116" s="175">
        <f t="shared" si="2"/>
        <v>105</v>
      </c>
      <c r="C116" s="139" t="s">
        <v>100</v>
      </c>
      <c r="D116" s="139" t="s">
        <v>101</v>
      </c>
      <c r="E116" s="139" t="s">
        <v>288</v>
      </c>
    </row>
    <row r="117" spans="1:9" ht="28.8" x14ac:dyDescent="0.3">
      <c r="A117" s="175" t="s">
        <v>386</v>
      </c>
      <c r="B117" s="175">
        <f t="shared" si="2"/>
        <v>106</v>
      </c>
      <c r="C117" s="139" t="s">
        <v>104</v>
      </c>
      <c r="D117" s="139" t="s">
        <v>106</v>
      </c>
      <c r="E117" s="139" t="s">
        <v>290</v>
      </c>
    </row>
    <row r="118" spans="1:9" ht="28.8" x14ac:dyDescent="0.3">
      <c r="A118" s="175" t="s">
        <v>386</v>
      </c>
      <c r="B118" s="175">
        <f t="shared" si="2"/>
        <v>107</v>
      </c>
      <c r="C118" s="139" t="s">
        <v>105</v>
      </c>
      <c r="D118" s="139" t="s">
        <v>107</v>
      </c>
      <c r="E118" s="139" t="s">
        <v>586</v>
      </c>
    </row>
    <row r="119" spans="1:9" x14ac:dyDescent="0.3">
      <c r="A119" s="175" t="s">
        <v>386</v>
      </c>
      <c r="B119" s="175">
        <f t="shared" si="2"/>
        <v>108</v>
      </c>
    </row>
    <row r="120" spans="1:9" x14ac:dyDescent="0.3">
      <c r="A120" s="175" t="s">
        <v>386</v>
      </c>
      <c r="B120" s="175">
        <f t="shared" si="2"/>
        <v>109</v>
      </c>
    </row>
    <row r="121" spans="1:9" x14ac:dyDescent="0.3">
      <c r="A121" s="175" t="s">
        <v>386</v>
      </c>
      <c r="B121" s="175">
        <f t="shared" si="2"/>
        <v>110</v>
      </c>
    </row>
    <row r="122" spans="1:9" x14ac:dyDescent="0.3">
      <c r="A122" s="175" t="s">
        <v>386</v>
      </c>
      <c r="B122" s="175">
        <f t="shared" si="2"/>
        <v>111</v>
      </c>
    </row>
    <row r="123" spans="1:9" x14ac:dyDescent="0.3">
      <c r="A123" s="175" t="s">
        <v>386</v>
      </c>
      <c r="B123" s="175">
        <f t="shared" si="2"/>
        <v>112</v>
      </c>
    </row>
    <row r="124" spans="1:9" x14ac:dyDescent="0.3">
      <c r="A124" s="183" t="s">
        <v>387</v>
      </c>
      <c r="B124" s="183">
        <f t="shared" si="2"/>
        <v>113</v>
      </c>
      <c r="C124" s="184" t="s">
        <v>111</v>
      </c>
      <c r="D124" s="184" t="s">
        <v>110</v>
      </c>
      <c r="E124" s="184" t="s">
        <v>291</v>
      </c>
      <c r="F124" s="184"/>
      <c r="G124" s="184"/>
      <c r="H124" s="184"/>
      <c r="I124" s="184"/>
    </row>
    <row r="125" spans="1:9" ht="28.8" x14ac:dyDescent="0.3">
      <c r="A125" s="175" t="s">
        <v>387</v>
      </c>
      <c r="B125" s="175">
        <f t="shared" si="2"/>
        <v>114</v>
      </c>
      <c r="C125" s="139" t="s">
        <v>109</v>
      </c>
      <c r="D125" s="139" t="s">
        <v>108</v>
      </c>
      <c r="E125" s="139" t="s">
        <v>292</v>
      </c>
    </row>
    <row r="126" spans="1:9" ht="57.6" x14ac:dyDescent="0.3">
      <c r="A126" s="175" t="s">
        <v>387</v>
      </c>
      <c r="B126" s="175">
        <f t="shared" si="2"/>
        <v>115</v>
      </c>
      <c r="C126" s="139" t="s">
        <v>240</v>
      </c>
      <c r="D126" s="139" t="s">
        <v>239</v>
      </c>
      <c r="E126" s="139" t="s">
        <v>587</v>
      </c>
    </row>
    <row r="127" spans="1:9" x14ac:dyDescent="0.3">
      <c r="A127" s="175" t="s">
        <v>387</v>
      </c>
      <c r="B127" s="175">
        <f t="shared" si="2"/>
        <v>116</v>
      </c>
      <c r="C127" s="139" t="s">
        <v>378</v>
      </c>
      <c r="D127" s="139" t="s">
        <v>373</v>
      </c>
      <c r="E127" s="139" t="s">
        <v>375</v>
      </c>
    </row>
    <row r="128" spans="1:9" x14ac:dyDescent="0.3">
      <c r="A128" s="175" t="s">
        <v>387</v>
      </c>
      <c r="B128" s="175">
        <f t="shared" si="2"/>
        <v>117</v>
      </c>
      <c r="C128" s="139" t="s">
        <v>370</v>
      </c>
      <c r="D128" s="139" t="s">
        <v>369</v>
      </c>
      <c r="E128" s="139" t="s">
        <v>371</v>
      </c>
    </row>
    <row r="129" spans="1:9" x14ac:dyDescent="0.3">
      <c r="A129" s="175" t="s">
        <v>387</v>
      </c>
      <c r="B129" s="175">
        <f t="shared" si="2"/>
        <v>118</v>
      </c>
      <c r="C129" s="139" t="s">
        <v>420</v>
      </c>
      <c r="D129" s="139" t="s">
        <v>421</v>
      </c>
      <c r="E129" s="139" t="s">
        <v>422</v>
      </c>
    </row>
    <row r="130" spans="1:9" ht="28.8" x14ac:dyDescent="0.3">
      <c r="A130" s="175" t="s">
        <v>387</v>
      </c>
      <c r="B130" s="175">
        <f t="shared" si="2"/>
        <v>119</v>
      </c>
      <c r="C130" s="139" t="s">
        <v>377</v>
      </c>
      <c r="D130" s="182" t="s">
        <v>374</v>
      </c>
      <c r="E130" s="139" t="s">
        <v>376</v>
      </c>
    </row>
    <row r="131" spans="1:9" x14ac:dyDescent="0.3">
      <c r="A131" s="175" t="s">
        <v>387</v>
      </c>
      <c r="B131" s="175">
        <f t="shared" si="2"/>
        <v>120</v>
      </c>
      <c r="C131" s="139" t="s">
        <v>112</v>
      </c>
      <c r="D131" s="139" t="s">
        <v>113</v>
      </c>
      <c r="E131" s="139" t="s">
        <v>293</v>
      </c>
    </row>
    <row r="132" spans="1:9" x14ac:dyDescent="0.3">
      <c r="A132" s="175" t="s">
        <v>387</v>
      </c>
      <c r="B132" s="175">
        <f t="shared" si="2"/>
        <v>121</v>
      </c>
      <c r="C132" s="139" t="s">
        <v>114</v>
      </c>
      <c r="D132" s="139" t="s">
        <v>115</v>
      </c>
      <c r="E132" s="139" t="s">
        <v>294</v>
      </c>
    </row>
    <row r="133" spans="1:9" x14ac:dyDescent="0.3">
      <c r="A133" s="175" t="s">
        <v>387</v>
      </c>
      <c r="B133" s="175">
        <f t="shared" si="2"/>
        <v>122</v>
      </c>
      <c r="C133" s="139" t="s">
        <v>116</v>
      </c>
      <c r="D133" s="139" t="s">
        <v>117</v>
      </c>
      <c r="E133" s="139" t="s">
        <v>295</v>
      </c>
    </row>
    <row r="134" spans="1:9" ht="43.2" x14ac:dyDescent="0.3">
      <c r="A134" s="175" t="s">
        <v>387</v>
      </c>
      <c r="B134" s="175">
        <f t="shared" si="2"/>
        <v>123</v>
      </c>
      <c r="C134" s="139" t="s">
        <v>379</v>
      </c>
      <c r="D134" s="139" t="s">
        <v>380</v>
      </c>
      <c r="E134" s="139" t="s">
        <v>588</v>
      </c>
    </row>
    <row r="135" spans="1:9" ht="43.2" x14ac:dyDescent="0.3">
      <c r="A135" s="175" t="s">
        <v>387</v>
      </c>
      <c r="B135" s="175">
        <f t="shared" si="2"/>
        <v>124</v>
      </c>
      <c r="C135" s="139" t="s">
        <v>396</v>
      </c>
      <c r="D135" s="139" t="s">
        <v>395</v>
      </c>
      <c r="E135" s="139" t="s">
        <v>590</v>
      </c>
    </row>
    <row r="136" spans="1:9" x14ac:dyDescent="0.3">
      <c r="A136" s="175" t="s">
        <v>387</v>
      </c>
      <c r="B136" s="175">
        <f t="shared" si="2"/>
        <v>125</v>
      </c>
    </row>
    <row r="137" spans="1:9" x14ac:dyDescent="0.3">
      <c r="A137" s="175" t="s">
        <v>387</v>
      </c>
      <c r="B137" s="175">
        <f t="shared" si="2"/>
        <v>126</v>
      </c>
    </row>
    <row r="138" spans="1:9" x14ac:dyDescent="0.3">
      <c r="A138" s="175" t="s">
        <v>387</v>
      </c>
      <c r="B138" s="175">
        <f t="shared" si="2"/>
        <v>127</v>
      </c>
    </row>
    <row r="139" spans="1:9" x14ac:dyDescent="0.3">
      <c r="A139" s="175" t="s">
        <v>387</v>
      </c>
      <c r="B139" s="175">
        <f t="shared" si="2"/>
        <v>128</v>
      </c>
    </row>
    <row r="140" spans="1:9" x14ac:dyDescent="0.3">
      <c r="A140" s="183" t="s">
        <v>388</v>
      </c>
      <c r="B140" s="183">
        <f t="shared" si="2"/>
        <v>129</v>
      </c>
      <c r="C140" s="184" t="s">
        <v>119</v>
      </c>
      <c r="D140" s="184" t="s">
        <v>118</v>
      </c>
      <c r="E140" s="184" t="s">
        <v>296</v>
      </c>
      <c r="F140" s="184"/>
      <c r="G140" s="184"/>
      <c r="H140" s="184"/>
      <c r="I140" s="184"/>
    </row>
    <row r="141" spans="1:9" x14ac:dyDescent="0.3">
      <c r="A141" s="175" t="s">
        <v>388</v>
      </c>
      <c r="B141" s="175">
        <f t="shared" si="2"/>
        <v>130</v>
      </c>
      <c r="C141" s="139" t="s">
        <v>120</v>
      </c>
      <c r="D141" s="139" t="s">
        <v>121</v>
      </c>
      <c r="E141" s="139" t="s">
        <v>297</v>
      </c>
    </row>
    <row r="142" spans="1:9" x14ac:dyDescent="0.3">
      <c r="A142" s="175" t="s">
        <v>388</v>
      </c>
      <c r="B142" s="175">
        <f t="shared" si="2"/>
        <v>131</v>
      </c>
      <c r="C142" s="139" t="s">
        <v>216</v>
      </c>
      <c r="D142" s="139" t="s">
        <v>217</v>
      </c>
      <c r="E142" s="139" t="s">
        <v>321</v>
      </c>
    </row>
    <row r="143" spans="1:9" x14ac:dyDescent="0.3">
      <c r="A143" s="175" t="s">
        <v>388</v>
      </c>
      <c r="B143" s="175">
        <f t="shared" ref="B143:B253" si="3">ROW()-11</f>
        <v>132</v>
      </c>
      <c r="C143" s="139" t="s">
        <v>218</v>
      </c>
      <c r="D143" s="139" t="s">
        <v>219</v>
      </c>
      <c r="E143" s="139" t="s">
        <v>334</v>
      </c>
    </row>
    <row r="144" spans="1:9" x14ac:dyDescent="0.3">
      <c r="A144" s="175" t="s">
        <v>388</v>
      </c>
      <c r="B144" s="175">
        <f t="shared" si="3"/>
        <v>133</v>
      </c>
      <c r="C144" s="139" t="s">
        <v>220</v>
      </c>
      <c r="D144" s="139" t="s">
        <v>221</v>
      </c>
      <c r="E144" s="139" t="s">
        <v>333</v>
      </c>
    </row>
    <row r="145" spans="1:11" x14ac:dyDescent="0.3">
      <c r="A145" s="175" t="s">
        <v>388</v>
      </c>
      <c r="B145" s="175">
        <f t="shared" si="2"/>
        <v>134</v>
      </c>
    </row>
    <row r="146" spans="1:11" x14ac:dyDescent="0.3">
      <c r="A146" s="175" t="s">
        <v>388</v>
      </c>
      <c r="B146" s="175">
        <f t="shared" si="2"/>
        <v>135</v>
      </c>
    </row>
    <row r="147" spans="1:11" x14ac:dyDescent="0.3">
      <c r="A147" s="175" t="s">
        <v>388</v>
      </c>
      <c r="B147" s="175">
        <f t="shared" si="3"/>
        <v>136</v>
      </c>
    </row>
    <row r="148" spans="1:11" x14ac:dyDescent="0.3">
      <c r="A148" s="175" t="s">
        <v>388</v>
      </c>
      <c r="B148" s="175">
        <f t="shared" si="3"/>
        <v>137</v>
      </c>
    </row>
    <row r="149" spans="1:11" x14ac:dyDescent="0.3">
      <c r="A149" s="175" t="s">
        <v>388</v>
      </c>
      <c r="B149" s="175">
        <f t="shared" si="2"/>
        <v>138</v>
      </c>
    </row>
    <row r="150" spans="1:11" x14ac:dyDescent="0.3">
      <c r="A150" s="183" t="s">
        <v>130</v>
      </c>
      <c r="B150" s="183">
        <f t="shared" si="2"/>
        <v>139</v>
      </c>
      <c r="C150" s="184" t="s">
        <v>122</v>
      </c>
      <c r="D150" s="184" t="s">
        <v>123</v>
      </c>
      <c r="E150" s="184" t="s">
        <v>299</v>
      </c>
      <c r="F150" s="184"/>
      <c r="G150" s="184"/>
      <c r="H150" s="184"/>
      <c r="I150" s="184"/>
    </row>
    <row r="151" spans="1:11" s="139" customFormat="1" x14ac:dyDescent="0.3">
      <c r="A151" s="175" t="s">
        <v>130</v>
      </c>
      <c r="B151" s="175">
        <f t="shared" si="3"/>
        <v>140</v>
      </c>
      <c r="C151" s="139" t="s">
        <v>124</v>
      </c>
      <c r="D151" s="139" t="s">
        <v>126</v>
      </c>
      <c r="E151" s="139" t="s">
        <v>300</v>
      </c>
      <c r="J151" s="175"/>
      <c r="K151"/>
    </row>
    <row r="152" spans="1:11" s="139" customFormat="1" x14ac:dyDescent="0.3">
      <c r="A152" s="175" t="s">
        <v>130</v>
      </c>
      <c r="B152" s="175">
        <f t="shared" si="3"/>
        <v>141</v>
      </c>
      <c r="C152" s="139" t="s">
        <v>125</v>
      </c>
      <c r="D152" s="139" t="s">
        <v>127</v>
      </c>
      <c r="E152" s="139" t="s">
        <v>591</v>
      </c>
      <c r="J152" s="175"/>
      <c r="K152"/>
    </row>
    <row r="153" spans="1:11" x14ac:dyDescent="0.3">
      <c r="A153" s="175" t="s">
        <v>130</v>
      </c>
      <c r="B153" s="175">
        <f t="shared" si="3"/>
        <v>142</v>
      </c>
      <c r="C153" s="139" t="s">
        <v>247</v>
      </c>
      <c r="D153" s="139" t="s">
        <v>248</v>
      </c>
      <c r="E153" s="139" t="s">
        <v>339</v>
      </c>
    </row>
    <row r="154" spans="1:11" x14ac:dyDescent="0.3">
      <c r="A154" s="175" t="s">
        <v>130</v>
      </c>
      <c r="B154" s="175">
        <f t="shared" si="3"/>
        <v>143</v>
      </c>
    </row>
    <row r="155" spans="1:11" x14ac:dyDescent="0.3">
      <c r="A155" s="175" t="s">
        <v>130</v>
      </c>
      <c r="B155" s="175">
        <f t="shared" si="3"/>
        <v>144</v>
      </c>
    </row>
    <row r="156" spans="1:11" x14ac:dyDescent="0.3">
      <c r="A156" s="175" t="s">
        <v>130</v>
      </c>
      <c r="B156" s="175">
        <f t="shared" si="3"/>
        <v>145</v>
      </c>
    </row>
    <row r="157" spans="1:11" x14ac:dyDescent="0.3">
      <c r="A157" s="175" t="s">
        <v>130</v>
      </c>
      <c r="B157" s="175">
        <f t="shared" si="3"/>
        <v>146</v>
      </c>
    </row>
    <row r="158" spans="1:11" x14ac:dyDescent="0.3">
      <c r="A158" s="183" t="s">
        <v>179</v>
      </c>
      <c r="B158" s="183">
        <f t="shared" si="3"/>
        <v>147</v>
      </c>
      <c r="C158" s="184" t="s">
        <v>175</v>
      </c>
      <c r="D158" s="184" t="s">
        <v>176</v>
      </c>
      <c r="E158" s="184" t="s">
        <v>302</v>
      </c>
      <c r="F158" s="184"/>
      <c r="G158" s="184"/>
      <c r="H158" s="184"/>
      <c r="I158" s="184"/>
    </row>
    <row r="159" spans="1:11" x14ac:dyDescent="0.3">
      <c r="A159" s="175" t="s">
        <v>179</v>
      </c>
      <c r="B159" s="175">
        <f t="shared" si="3"/>
        <v>148</v>
      </c>
    </row>
    <row r="160" spans="1:11" x14ac:dyDescent="0.3">
      <c r="A160" s="175" t="s">
        <v>179</v>
      </c>
      <c r="B160" s="175">
        <f t="shared" si="3"/>
        <v>149</v>
      </c>
    </row>
    <row r="161" spans="1:11" x14ac:dyDescent="0.3">
      <c r="A161" s="175" t="s">
        <v>179</v>
      </c>
      <c r="B161" s="175">
        <f t="shared" si="3"/>
        <v>150</v>
      </c>
    </row>
    <row r="162" spans="1:11" x14ac:dyDescent="0.3">
      <c r="A162" s="183" t="s">
        <v>201</v>
      </c>
      <c r="B162" s="183">
        <f t="shared" si="3"/>
        <v>151</v>
      </c>
      <c r="C162" s="184" t="s">
        <v>244</v>
      </c>
      <c r="D162" s="184" t="s">
        <v>198</v>
      </c>
      <c r="E162" s="184" t="s">
        <v>592</v>
      </c>
      <c r="F162" s="184"/>
      <c r="G162" s="184"/>
      <c r="H162" s="184"/>
      <c r="I162" s="184"/>
    </row>
    <row r="163" spans="1:11" x14ac:dyDescent="0.3">
      <c r="A163" s="175" t="s">
        <v>201</v>
      </c>
      <c r="B163" s="175">
        <f t="shared" si="3"/>
        <v>152</v>
      </c>
    </row>
    <row r="164" spans="1:11" x14ac:dyDescent="0.3">
      <c r="A164" s="175" t="s">
        <v>201</v>
      </c>
      <c r="B164" s="175">
        <f t="shared" si="3"/>
        <v>153</v>
      </c>
    </row>
    <row r="165" spans="1:11" x14ac:dyDescent="0.3">
      <c r="A165" s="175" t="s">
        <v>201</v>
      </c>
      <c r="B165" s="175">
        <f t="shared" si="3"/>
        <v>154</v>
      </c>
    </row>
    <row r="166" spans="1:11" x14ac:dyDescent="0.3">
      <c r="A166" s="175" t="s">
        <v>201</v>
      </c>
      <c r="B166" s="175">
        <f t="shared" si="3"/>
        <v>155</v>
      </c>
    </row>
    <row r="167" spans="1:11" x14ac:dyDescent="0.3">
      <c r="A167" s="183" t="s">
        <v>129</v>
      </c>
      <c r="B167" s="183">
        <v>156</v>
      </c>
      <c r="C167" s="184"/>
      <c r="D167" s="184"/>
      <c r="E167" s="184"/>
      <c r="F167" s="184"/>
      <c r="G167" s="184"/>
      <c r="H167" s="184"/>
      <c r="I167" s="184"/>
    </row>
    <row r="168" spans="1:11" s="139" customFormat="1" x14ac:dyDescent="0.3">
      <c r="A168" s="175" t="s">
        <v>129</v>
      </c>
      <c r="B168" s="175">
        <f t="shared" si="3"/>
        <v>157</v>
      </c>
      <c r="C168" s="139" t="s">
        <v>157</v>
      </c>
      <c r="D168" s="139" t="s">
        <v>162</v>
      </c>
      <c r="E168" s="139" t="s">
        <v>311</v>
      </c>
      <c r="J168" s="175"/>
      <c r="K168"/>
    </row>
    <row r="169" spans="1:11" s="139" customFormat="1" x14ac:dyDescent="0.3">
      <c r="A169" s="175" t="s">
        <v>129</v>
      </c>
      <c r="B169" s="175">
        <f t="shared" si="3"/>
        <v>158</v>
      </c>
      <c r="C169" s="139" t="s">
        <v>158</v>
      </c>
      <c r="D169" s="139" t="s">
        <v>161</v>
      </c>
      <c r="E169" s="139" t="s">
        <v>312</v>
      </c>
      <c r="J169" s="175"/>
      <c r="K169"/>
    </row>
    <row r="170" spans="1:11" s="139" customFormat="1" x14ac:dyDescent="0.3">
      <c r="A170" s="175" t="s">
        <v>129</v>
      </c>
      <c r="B170" s="175">
        <f t="shared" si="3"/>
        <v>159</v>
      </c>
      <c r="C170" s="139" t="s">
        <v>159</v>
      </c>
      <c r="D170" s="139" t="s">
        <v>160</v>
      </c>
      <c r="E170" s="139" t="s">
        <v>313</v>
      </c>
      <c r="J170" s="175"/>
      <c r="K170"/>
    </row>
    <row r="171" spans="1:11" s="139" customFormat="1" ht="57.6" x14ac:dyDescent="0.3">
      <c r="A171" s="175" t="s">
        <v>129</v>
      </c>
      <c r="B171" s="175">
        <f t="shared" si="3"/>
        <v>160</v>
      </c>
      <c r="C171" s="139" t="s">
        <v>152</v>
      </c>
      <c r="D171" s="139" t="s">
        <v>156</v>
      </c>
      <c r="E171" s="139" t="s">
        <v>324</v>
      </c>
      <c r="J171" s="175"/>
      <c r="K171"/>
    </row>
    <row r="172" spans="1:11" s="139" customFormat="1" ht="57.6" x14ac:dyDescent="0.3">
      <c r="A172" s="175" t="s">
        <v>129</v>
      </c>
      <c r="B172" s="175">
        <f t="shared" si="3"/>
        <v>161</v>
      </c>
      <c r="C172" s="139" t="s">
        <v>393</v>
      </c>
      <c r="D172" s="139" t="s">
        <v>155</v>
      </c>
      <c r="E172" s="139" t="s">
        <v>310</v>
      </c>
      <c r="J172" s="175"/>
      <c r="K172"/>
    </row>
    <row r="173" spans="1:11" s="139" customFormat="1" ht="115.2" x14ac:dyDescent="0.3">
      <c r="A173" s="175" t="s">
        <v>129</v>
      </c>
      <c r="B173" s="175">
        <f t="shared" si="3"/>
        <v>162</v>
      </c>
      <c r="C173" s="139" t="s">
        <v>153</v>
      </c>
      <c r="D173" s="139" t="s">
        <v>154</v>
      </c>
      <c r="E173" s="139" t="s">
        <v>593</v>
      </c>
      <c r="J173" s="175"/>
      <c r="K173"/>
    </row>
    <row r="174" spans="1:11" s="139" customFormat="1" x14ac:dyDescent="0.3">
      <c r="A174" s="175" t="s">
        <v>129</v>
      </c>
      <c r="B174" s="175">
        <f t="shared" si="3"/>
        <v>163</v>
      </c>
      <c r="C174" s="139" t="s">
        <v>148</v>
      </c>
      <c r="D174" s="139" t="s">
        <v>150</v>
      </c>
      <c r="E174" s="139" t="s">
        <v>308</v>
      </c>
      <c r="J174" s="175"/>
      <c r="K174"/>
    </row>
    <row r="175" spans="1:11" s="139" customFormat="1" ht="28.8" x14ac:dyDescent="0.3">
      <c r="A175" s="175" t="s">
        <v>129</v>
      </c>
      <c r="B175" s="175">
        <f t="shared" si="3"/>
        <v>164</v>
      </c>
      <c r="C175" s="139" t="s">
        <v>149</v>
      </c>
      <c r="D175" s="139" t="s">
        <v>151</v>
      </c>
      <c r="E175" s="139" t="s">
        <v>309</v>
      </c>
      <c r="J175" s="175"/>
      <c r="K175"/>
    </row>
    <row r="176" spans="1:11" s="139" customFormat="1" x14ac:dyDescent="0.3">
      <c r="A176" s="175" t="s">
        <v>129</v>
      </c>
      <c r="B176" s="175">
        <f t="shared" si="3"/>
        <v>165</v>
      </c>
      <c r="C176" s="139" t="s">
        <v>136</v>
      </c>
      <c r="D176" s="139" t="s">
        <v>142</v>
      </c>
      <c r="E176" s="139" t="s">
        <v>589</v>
      </c>
      <c r="J176" s="175"/>
      <c r="K176"/>
    </row>
    <row r="177" spans="1:11" s="139" customFormat="1" x14ac:dyDescent="0.3">
      <c r="A177" s="175" t="s">
        <v>129</v>
      </c>
      <c r="B177" s="175">
        <f t="shared" si="3"/>
        <v>166</v>
      </c>
      <c r="C177" s="139" t="s">
        <v>137</v>
      </c>
      <c r="D177" s="139" t="s">
        <v>143</v>
      </c>
      <c r="E177" s="139" t="s">
        <v>303</v>
      </c>
      <c r="J177" s="175"/>
      <c r="K177"/>
    </row>
    <row r="178" spans="1:11" s="139" customFormat="1" x14ac:dyDescent="0.3">
      <c r="A178" s="175" t="s">
        <v>129</v>
      </c>
      <c r="B178" s="175">
        <f t="shared" si="3"/>
        <v>167</v>
      </c>
      <c r="C178" s="139" t="s">
        <v>138</v>
      </c>
      <c r="D178" s="139" t="s">
        <v>144</v>
      </c>
      <c r="E178" s="139" t="s">
        <v>304</v>
      </c>
      <c r="J178" s="175"/>
      <c r="K178"/>
    </row>
    <row r="179" spans="1:11" s="139" customFormat="1" x14ac:dyDescent="0.3">
      <c r="A179" s="175" t="s">
        <v>129</v>
      </c>
      <c r="B179" s="175">
        <f t="shared" si="3"/>
        <v>168</v>
      </c>
      <c r="C179" s="139" t="s">
        <v>139</v>
      </c>
      <c r="D179" s="139" t="s">
        <v>145</v>
      </c>
      <c r="E179" s="139" t="s">
        <v>305</v>
      </c>
      <c r="J179" s="175"/>
      <c r="K179"/>
    </row>
    <row r="180" spans="1:11" s="139" customFormat="1" x14ac:dyDescent="0.3">
      <c r="A180" s="175" t="s">
        <v>129</v>
      </c>
      <c r="B180" s="175">
        <f t="shared" si="3"/>
        <v>169</v>
      </c>
      <c r="C180" s="139" t="s">
        <v>140</v>
      </c>
      <c r="D180" s="139" t="s">
        <v>140</v>
      </c>
      <c r="E180" s="139" t="s">
        <v>306</v>
      </c>
      <c r="J180" s="175"/>
      <c r="K180"/>
    </row>
    <row r="181" spans="1:11" s="139" customFormat="1" x14ac:dyDescent="0.3">
      <c r="A181" s="175" t="s">
        <v>129</v>
      </c>
      <c r="B181" s="175">
        <f t="shared" si="3"/>
        <v>170</v>
      </c>
      <c r="C181" s="139" t="s">
        <v>141</v>
      </c>
      <c r="D181" s="139" t="s">
        <v>146</v>
      </c>
      <c r="E181" s="139" t="s">
        <v>307</v>
      </c>
      <c r="J181" s="175"/>
      <c r="K181"/>
    </row>
    <row r="182" spans="1:11" s="139" customFormat="1" x14ac:dyDescent="0.3">
      <c r="A182" s="175" t="s">
        <v>129</v>
      </c>
      <c r="B182" s="175">
        <f t="shared" si="3"/>
        <v>171</v>
      </c>
      <c r="C182" s="139" t="s">
        <v>170</v>
      </c>
      <c r="D182" s="139" t="s">
        <v>169</v>
      </c>
      <c r="E182" s="139" t="s">
        <v>317</v>
      </c>
      <c r="J182" s="175"/>
      <c r="K182"/>
    </row>
    <row r="183" spans="1:11" s="139" customFormat="1" x14ac:dyDescent="0.3">
      <c r="A183" s="175" t="s">
        <v>129</v>
      </c>
      <c r="B183" s="175">
        <f t="shared" si="3"/>
        <v>172</v>
      </c>
      <c r="C183" s="139" t="s">
        <v>168</v>
      </c>
      <c r="D183" s="139" t="s">
        <v>164</v>
      </c>
      <c r="E183" s="139" t="s">
        <v>314</v>
      </c>
      <c r="J183" s="175"/>
      <c r="K183"/>
    </row>
    <row r="184" spans="1:11" s="139" customFormat="1" x14ac:dyDescent="0.3">
      <c r="A184" s="175" t="s">
        <v>129</v>
      </c>
      <c r="B184" s="175">
        <f t="shared" si="3"/>
        <v>173</v>
      </c>
      <c r="C184" s="139" t="s">
        <v>167</v>
      </c>
      <c r="D184" s="139" t="s">
        <v>165</v>
      </c>
      <c r="E184" s="139" t="s">
        <v>315</v>
      </c>
      <c r="J184" s="175"/>
      <c r="K184"/>
    </row>
    <row r="185" spans="1:11" s="139" customFormat="1" x14ac:dyDescent="0.3">
      <c r="A185" s="175" t="s">
        <v>129</v>
      </c>
      <c r="B185" s="175">
        <f t="shared" si="3"/>
        <v>174</v>
      </c>
      <c r="C185" s="139" t="s">
        <v>163</v>
      </c>
      <c r="D185" s="139" t="s">
        <v>166</v>
      </c>
      <c r="E185" s="139" t="s">
        <v>316</v>
      </c>
      <c r="J185" s="175"/>
      <c r="K185"/>
    </row>
    <row r="186" spans="1:11" s="139" customFormat="1" x14ac:dyDescent="0.3">
      <c r="A186" s="175" t="s">
        <v>129</v>
      </c>
      <c r="B186" s="175">
        <v>175</v>
      </c>
      <c r="J186" s="175"/>
      <c r="K186"/>
    </row>
    <row r="187" spans="1:11" s="139" customFormat="1" x14ac:dyDescent="0.3">
      <c r="A187" s="175" t="s">
        <v>129</v>
      </c>
      <c r="B187" s="175">
        <f t="shared" si="3"/>
        <v>176</v>
      </c>
      <c r="J187" s="175"/>
      <c r="K187"/>
    </row>
    <row r="188" spans="1:11" s="139" customFormat="1" x14ac:dyDescent="0.3">
      <c r="A188" s="175" t="s">
        <v>129</v>
      </c>
      <c r="B188" s="175">
        <f t="shared" si="3"/>
        <v>177</v>
      </c>
      <c r="J188" s="175"/>
      <c r="K188"/>
    </row>
    <row r="189" spans="1:11" s="139" customFormat="1" x14ac:dyDescent="0.3">
      <c r="A189" s="175" t="s">
        <v>129</v>
      </c>
      <c r="B189" s="175">
        <f t="shared" si="3"/>
        <v>178</v>
      </c>
      <c r="J189" s="175"/>
      <c r="K189"/>
    </row>
    <row r="190" spans="1:11" s="139" customFormat="1" x14ac:dyDescent="0.3">
      <c r="A190" s="183" t="s">
        <v>397</v>
      </c>
      <c r="B190" s="183">
        <v>179</v>
      </c>
      <c r="C190" s="184" t="s">
        <v>171</v>
      </c>
      <c r="D190" s="184" t="s">
        <v>174</v>
      </c>
      <c r="E190" s="184" t="s">
        <v>322</v>
      </c>
      <c r="F190" s="184"/>
      <c r="G190" s="184"/>
      <c r="H190" s="184"/>
      <c r="I190" s="184"/>
      <c r="J190" s="175"/>
      <c r="K190"/>
    </row>
    <row r="191" spans="1:11" s="139" customFormat="1" x14ac:dyDescent="0.3">
      <c r="A191" s="175" t="s">
        <v>397</v>
      </c>
      <c r="B191" s="175">
        <v>180</v>
      </c>
      <c r="C191" s="139" t="s">
        <v>172</v>
      </c>
      <c r="D191" s="139" t="s">
        <v>173</v>
      </c>
      <c r="E191" s="139" t="s">
        <v>301</v>
      </c>
      <c r="J191" s="175"/>
      <c r="K191"/>
    </row>
    <row r="192" spans="1:11" s="139" customFormat="1" x14ac:dyDescent="0.3">
      <c r="A192" s="175" t="s">
        <v>397</v>
      </c>
      <c r="B192" s="175">
        <v>181</v>
      </c>
      <c r="J192" s="175"/>
      <c r="K192"/>
    </row>
    <row r="193" spans="1:11" s="139" customFormat="1" x14ac:dyDescent="0.3">
      <c r="A193" s="175" t="s">
        <v>397</v>
      </c>
      <c r="B193" s="175">
        <v>182</v>
      </c>
      <c r="J193" s="175"/>
      <c r="K193"/>
    </row>
    <row r="194" spans="1:11" s="139" customFormat="1" x14ac:dyDescent="0.3">
      <c r="A194" s="175" t="s">
        <v>397</v>
      </c>
      <c r="B194" s="175">
        <v>183</v>
      </c>
      <c r="J194" s="175"/>
      <c r="K194"/>
    </row>
    <row r="195" spans="1:11" s="139" customFormat="1" x14ac:dyDescent="0.3">
      <c r="A195" s="175" t="s">
        <v>397</v>
      </c>
      <c r="B195" s="175">
        <v>184</v>
      </c>
      <c r="J195" s="175"/>
      <c r="K195"/>
    </row>
    <row r="196" spans="1:11" s="139" customFormat="1" x14ac:dyDescent="0.3">
      <c r="A196" s="183" t="s">
        <v>401</v>
      </c>
      <c r="B196" s="183">
        <v>185</v>
      </c>
      <c r="C196" s="184" t="s">
        <v>237</v>
      </c>
      <c r="D196" s="184" t="s">
        <v>238</v>
      </c>
      <c r="E196" s="184" t="s">
        <v>328</v>
      </c>
      <c r="F196" s="184"/>
      <c r="G196" s="184"/>
      <c r="H196" s="184"/>
      <c r="I196" s="184"/>
      <c r="J196" s="175"/>
      <c r="K196"/>
    </row>
    <row r="197" spans="1:11" s="139" customFormat="1" ht="28.8" x14ac:dyDescent="0.3">
      <c r="A197" s="175" t="s">
        <v>401</v>
      </c>
      <c r="B197" s="175">
        <f t="shared" si="3"/>
        <v>186</v>
      </c>
      <c r="C197" s="139" t="s">
        <v>182</v>
      </c>
      <c r="D197" s="139" t="s">
        <v>187</v>
      </c>
      <c r="E197" s="139" t="s">
        <v>318</v>
      </c>
      <c r="J197" s="175" t="s">
        <v>381</v>
      </c>
      <c r="K197"/>
    </row>
    <row r="198" spans="1:11" s="139" customFormat="1" ht="43.2" x14ac:dyDescent="0.3">
      <c r="A198" s="175" t="s">
        <v>401</v>
      </c>
      <c r="B198" s="175">
        <f t="shared" si="3"/>
        <v>187</v>
      </c>
      <c r="C198" s="139" t="s">
        <v>183</v>
      </c>
      <c r="D198" s="139" t="s">
        <v>188</v>
      </c>
      <c r="E198" s="139" t="s">
        <v>594</v>
      </c>
      <c r="J198" s="175" t="s">
        <v>381</v>
      </c>
      <c r="K198"/>
    </row>
    <row r="199" spans="1:11" s="139" customFormat="1" x14ac:dyDescent="0.3">
      <c r="A199" s="175" t="s">
        <v>401</v>
      </c>
      <c r="B199" s="175">
        <v>188</v>
      </c>
      <c r="J199" s="175" t="s">
        <v>381</v>
      </c>
      <c r="K199"/>
    </row>
    <row r="200" spans="1:11" s="139" customFormat="1" x14ac:dyDescent="0.3">
      <c r="A200" s="175" t="s">
        <v>401</v>
      </c>
      <c r="B200" s="175">
        <v>189</v>
      </c>
      <c r="J200" s="175" t="s">
        <v>381</v>
      </c>
      <c r="K200"/>
    </row>
    <row r="201" spans="1:11" s="139" customFormat="1" ht="43.2" x14ac:dyDescent="0.3">
      <c r="A201" s="175" t="s">
        <v>401</v>
      </c>
      <c r="B201" s="175">
        <f t="shared" si="3"/>
        <v>190</v>
      </c>
      <c r="C201" s="139" t="s">
        <v>181</v>
      </c>
      <c r="D201" s="139" t="s">
        <v>186</v>
      </c>
      <c r="E201" s="139" t="s">
        <v>595</v>
      </c>
      <c r="J201" s="175" t="s">
        <v>382</v>
      </c>
      <c r="K201"/>
    </row>
    <row r="202" spans="1:11" s="139" customFormat="1" ht="28.8" x14ac:dyDescent="0.3">
      <c r="A202" s="175" t="s">
        <v>401</v>
      </c>
      <c r="B202" s="175">
        <f t="shared" si="3"/>
        <v>191</v>
      </c>
      <c r="C202" s="139" t="s">
        <v>185</v>
      </c>
      <c r="D202" s="139" t="s">
        <v>190</v>
      </c>
      <c r="E202" s="139" t="s">
        <v>596</v>
      </c>
      <c r="J202" s="175" t="s">
        <v>382</v>
      </c>
      <c r="K202"/>
    </row>
    <row r="203" spans="1:11" s="139" customFormat="1" ht="28.8" x14ac:dyDescent="0.3">
      <c r="A203" s="175" t="s">
        <v>401</v>
      </c>
      <c r="B203" s="175">
        <f t="shared" si="3"/>
        <v>192</v>
      </c>
      <c r="C203" s="139" t="s">
        <v>180</v>
      </c>
      <c r="D203" s="139" t="s">
        <v>191</v>
      </c>
      <c r="E203" s="139" t="s">
        <v>325</v>
      </c>
      <c r="J203" s="175" t="s">
        <v>382</v>
      </c>
      <c r="K203"/>
    </row>
    <row r="204" spans="1:11" s="139" customFormat="1" x14ac:dyDescent="0.3">
      <c r="A204" s="175" t="s">
        <v>401</v>
      </c>
      <c r="B204" s="175">
        <v>193</v>
      </c>
      <c r="J204" s="175" t="s">
        <v>382</v>
      </c>
      <c r="K204"/>
    </row>
    <row r="205" spans="1:11" s="139" customFormat="1" x14ac:dyDescent="0.3">
      <c r="A205" s="175" t="s">
        <v>401</v>
      </c>
      <c r="B205" s="175">
        <v>194</v>
      </c>
      <c r="J205" s="175" t="s">
        <v>382</v>
      </c>
      <c r="K205"/>
    </row>
    <row r="206" spans="1:11" s="139" customFormat="1" x14ac:dyDescent="0.3">
      <c r="A206" s="175" t="s">
        <v>401</v>
      </c>
      <c r="B206" s="175">
        <v>195</v>
      </c>
      <c r="J206" s="175" t="s">
        <v>382</v>
      </c>
      <c r="K206"/>
    </row>
    <row r="207" spans="1:11" s="139" customFormat="1" ht="57.6" x14ac:dyDescent="0.3">
      <c r="A207" s="175" t="s">
        <v>401</v>
      </c>
      <c r="B207" s="175">
        <f t="shared" si="3"/>
        <v>196</v>
      </c>
      <c r="C207" s="139" t="s">
        <v>192</v>
      </c>
      <c r="D207" s="139" t="s">
        <v>193</v>
      </c>
      <c r="E207" s="139" t="s">
        <v>326</v>
      </c>
      <c r="J207" s="175" t="s">
        <v>383</v>
      </c>
      <c r="K207"/>
    </row>
    <row r="208" spans="1:11" s="139" customFormat="1" ht="100.8" x14ac:dyDescent="0.3">
      <c r="A208" s="175" t="s">
        <v>401</v>
      </c>
      <c r="B208" s="175">
        <v>197</v>
      </c>
      <c r="C208" s="139" t="s">
        <v>438</v>
      </c>
      <c r="D208" s="139" t="s">
        <v>441</v>
      </c>
      <c r="E208" s="139" t="s">
        <v>597</v>
      </c>
      <c r="J208" s="175" t="s">
        <v>383</v>
      </c>
      <c r="K208"/>
    </row>
    <row r="209" spans="1:11" s="139" customFormat="1" x14ac:dyDescent="0.3">
      <c r="A209" s="175" t="s">
        <v>401</v>
      </c>
      <c r="B209" s="175">
        <v>198</v>
      </c>
      <c r="J209" s="175" t="s">
        <v>383</v>
      </c>
      <c r="K209"/>
    </row>
    <row r="210" spans="1:11" s="139" customFormat="1" x14ac:dyDescent="0.3">
      <c r="A210" s="175" t="s">
        <v>401</v>
      </c>
      <c r="B210" s="175">
        <v>199</v>
      </c>
      <c r="J210" s="175" t="s">
        <v>383</v>
      </c>
      <c r="K210"/>
    </row>
    <row r="211" spans="1:11" ht="57.6" x14ac:dyDescent="0.3">
      <c r="A211" s="175" t="s">
        <v>401</v>
      </c>
      <c r="B211" s="175">
        <f t="shared" si="3"/>
        <v>200</v>
      </c>
      <c r="C211" s="139" t="s">
        <v>493</v>
      </c>
      <c r="D211" s="139" t="s">
        <v>494</v>
      </c>
      <c r="E211" s="139" t="s">
        <v>598</v>
      </c>
      <c r="J211" s="175" t="s">
        <v>384</v>
      </c>
    </row>
    <row r="212" spans="1:11" x14ac:dyDescent="0.3">
      <c r="A212" s="175" t="s">
        <v>401</v>
      </c>
      <c r="B212" s="175">
        <f t="shared" si="3"/>
        <v>201</v>
      </c>
      <c r="C212" s="139" t="s">
        <v>454</v>
      </c>
      <c r="D212" s="139" t="s">
        <v>456</v>
      </c>
      <c r="E212" s="139" t="s">
        <v>455</v>
      </c>
      <c r="J212" s="175" t="s">
        <v>384</v>
      </c>
    </row>
    <row r="213" spans="1:11" ht="28.8" x14ac:dyDescent="0.3">
      <c r="A213" s="175" t="s">
        <v>401</v>
      </c>
      <c r="B213" s="175">
        <f t="shared" si="3"/>
        <v>202</v>
      </c>
      <c r="C213" s="139" t="s">
        <v>194</v>
      </c>
      <c r="D213" s="139" t="s">
        <v>195</v>
      </c>
      <c r="E213" s="139" t="s">
        <v>599</v>
      </c>
      <c r="J213" s="175" t="s">
        <v>384</v>
      </c>
    </row>
    <row r="214" spans="1:11" s="139" customFormat="1" x14ac:dyDescent="0.3">
      <c r="A214" s="175" t="s">
        <v>401</v>
      </c>
      <c r="B214" s="175">
        <v>203</v>
      </c>
      <c r="J214" s="175" t="s">
        <v>384</v>
      </c>
      <c r="K214"/>
    </row>
    <row r="215" spans="1:11" s="139" customFormat="1" x14ac:dyDescent="0.3">
      <c r="A215" s="175" t="s">
        <v>401</v>
      </c>
      <c r="B215" s="175">
        <v>204</v>
      </c>
      <c r="J215" s="175" t="s">
        <v>384</v>
      </c>
      <c r="K215"/>
    </row>
    <row r="216" spans="1:11" s="139" customFormat="1" x14ac:dyDescent="0.3">
      <c r="A216" s="175" t="s">
        <v>401</v>
      </c>
      <c r="B216" s="175">
        <v>205</v>
      </c>
      <c r="J216" s="175" t="s">
        <v>384</v>
      </c>
      <c r="K216"/>
    </row>
    <row r="217" spans="1:11" ht="57.6" x14ac:dyDescent="0.3">
      <c r="A217" s="175" t="s">
        <v>401</v>
      </c>
      <c r="B217" s="175">
        <f t="shared" si="3"/>
        <v>206</v>
      </c>
      <c r="C217" s="139" t="s">
        <v>495</v>
      </c>
      <c r="D217" s="139" t="s">
        <v>499</v>
      </c>
      <c r="E217" s="139" t="s">
        <v>601</v>
      </c>
      <c r="J217" s="175" t="s">
        <v>385</v>
      </c>
    </row>
    <row r="218" spans="1:11" ht="43.2" x14ac:dyDescent="0.3">
      <c r="A218" s="175" t="s">
        <v>401</v>
      </c>
      <c r="B218" s="175">
        <f t="shared" si="3"/>
        <v>207</v>
      </c>
      <c r="C218" s="139" t="s">
        <v>496</v>
      </c>
      <c r="D218" s="139" t="s">
        <v>500</v>
      </c>
      <c r="E218" s="139" t="s">
        <v>600</v>
      </c>
      <c r="J218" s="175" t="s">
        <v>385</v>
      </c>
    </row>
    <row r="219" spans="1:11" x14ac:dyDescent="0.3">
      <c r="A219" s="175" t="s">
        <v>401</v>
      </c>
      <c r="B219" s="175">
        <v>208</v>
      </c>
      <c r="J219" s="175" t="s">
        <v>385</v>
      </c>
    </row>
    <row r="220" spans="1:11" s="139" customFormat="1" x14ac:dyDescent="0.3">
      <c r="A220" s="175" t="s">
        <v>401</v>
      </c>
      <c r="B220" s="175">
        <v>209</v>
      </c>
      <c r="J220" s="175" t="s">
        <v>385</v>
      </c>
      <c r="K220"/>
    </row>
    <row r="221" spans="1:11" ht="57.6" x14ac:dyDescent="0.3">
      <c r="A221" s="175" t="s">
        <v>401</v>
      </c>
      <c r="B221" s="175">
        <f t="shared" si="3"/>
        <v>210</v>
      </c>
      <c r="C221" s="139" t="s">
        <v>497</v>
      </c>
      <c r="D221" s="139" t="s">
        <v>501</v>
      </c>
      <c r="E221" s="139" t="s">
        <v>502</v>
      </c>
      <c r="J221" s="175" t="s">
        <v>386</v>
      </c>
    </row>
    <row r="222" spans="1:11" ht="43.2" x14ac:dyDescent="0.3">
      <c r="A222" s="175" t="s">
        <v>401</v>
      </c>
      <c r="B222" s="175">
        <f t="shared" si="3"/>
        <v>211</v>
      </c>
      <c r="C222" s="139" t="s">
        <v>498</v>
      </c>
      <c r="D222" s="139" t="s">
        <v>503</v>
      </c>
      <c r="E222" s="139" t="s">
        <v>504</v>
      </c>
      <c r="J222" s="175" t="s">
        <v>386</v>
      </c>
    </row>
    <row r="223" spans="1:11" ht="57.6" x14ac:dyDescent="0.3">
      <c r="A223" s="175" t="s">
        <v>401</v>
      </c>
      <c r="B223" s="175">
        <v>212</v>
      </c>
      <c r="C223" s="139" t="s">
        <v>423</v>
      </c>
      <c r="D223" s="139" t="s">
        <v>424</v>
      </c>
      <c r="E223" s="139" t="s">
        <v>425</v>
      </c>
      <c r="J223" s="175" t="s">
        <v>386</v>
      </c>
    </row>
    <row r="224" spans="1:11" x14ac:dyDescent="0.3">
      <c r="A224" s="175" t="s">
        <v>401</v>
      </c>
      <c r="B224" s="175">
        <v>213</v>
      </c>
      <c r="J224" s="175" t="s">
        <v>386</v>
      </c>
    </row>
    <row r="225" spans="1:11" ht="43.2" x14ac:dyDescent="0.3">
      <c r="A225" s="175" t="s">
        <v>401</v>
      </c>
      <c r="B225" s="175">
        <f t="shared" si="3"/>
        <v>214</v>
      </c>
      <c r="C225" s="139" t="s">
        <v>435</v>
      </c>
      <c r="D225" s="139" t="s">
        <v>436</v>
      </c>
      <c r="E225" s="139" t="s">
        <v>437</v>
      </c>
      <c r="J225" s="175" t="s">
        <v>387</v>
      </c>
    </row>
    <row r="226" spans="1:11" ht="43.2" x14ac:dyDescent="0.3">
      <c r="A226" s="175" t="s">
        <v>401</v>
      </c>
      <c r="B226" s="175">
        <f t="shared" si="3"/>
        <v>215</v>
      </c>
      <c r="C226" s="139" t="s">
        <v>225</v>
      </c>
      <c r="D226" s="139" t="s">
        <v>226</v>
      </c>
      <c r="E226" s="139" t="s">
        <v>602</v>
      </c>
      <c r="J226" s="175" t="s">
        <v>387</v>
      </c>
    </row>
    <row r="227" spans="1:11" ht="72" x14ac:dyDescent="0.3">
      <c r="A227" s="175" t="s">
        <v>401</v>
      </c>
      <c r="B227" s="175">
        <f t="shared" si="3"/>
        <v>216</v>
      </c>
      <c r="C227" s="139" t="s">
        <v>439</v>
      </c>
      <c r="D227" s="139" t="s">
        <v>440</v>
      </c>
      <c r="E227" s="139" t="s">
        <v>603</v>
      </c>
      <c r="J227" s="175" t="s">
        <v>387</v>
      </c>
    </row>
    <row r="228" spans="1:11" x14ac:dyDescent="0.3">
      <c r="A228" s="175" t="s">
        <v>401</v>
      </c>
      <c r="B228" s="175">
        <v>217</v>
      </c>
      <c r="J228" s="175" t="s">
        <v>387</v>
      </c>
    </row>
    <row r="229" spans="1:11" x14ac:dyDescent="0.3">
      <c r="A229" s="175" t="s">
        <v>401</v>
      </c>
      <c r="B229" s="175">
        <v>218</v>
      </c>
      <c r="J229" s="175" t="s">
        <v>387</v>
      </c>
    </row>
    <row r="230" spans="1:11" x14ac:dyDescent="0.3">
      <c r="A230" s="175" t="s">
        <v>401</v>
      </c>
      <c r="B230" s="175">
        <v>219</v>
      </c>
      <c r="J230" s="175" t="s">
        <v>387</v>
      </c>
    </row>
    <row r="231" spans="1:11" ht="43.2" x14ac:dyDescent="0.3">
      <c r="A231" s="175" t="s">
        <v>401</v>
      </c>
      <c r="B231" s="175">
        <f t="shared" si="3"/>
        <v>220</v>
      </c>
      <c r="C231" s="139" t="s">
        <v>227</v>
      </c>
      <c r="D231" s="139" t="s">
        <v>228</v>
      </c>
      <c r="E231" s="139" t="s">
        <v>327</v>
      </c>
      <c r="J231" s="175" t="s">
        <v>388</v>
      </c>
    </row>
    <row r="232" spans="1:11" x14ac:dyDescent="0.3">
      <c r="A232" s="175" t="s">
        <v>401</v>
      </c>
      <c r="B232" s="175">
        <v>221</v>
      </c>
      <c r="J232" s="175" t="s">
        <v>388</v>
      </c>
    </row>
    <row r="233" spans="1:11" x14ac:dyDescent="0.3">
      <c r="A233" s="175" t="s">
        <v>401</v>
      </c>
      <c r="B233" s="175">
        <v>222</v>
      </c>
    </row>
    <row r="234" spans="1:11" ht="28.8" x14ac:dyDescent="0.3">
      <c r="A234" s="175" t="s">
        <v>401</v>
      </c>
      <c r="B234" s="175">
        <f t="shared" si="3"/>
        <v>223</v>
      </c>
      <c r="C234" s="139" t="s">
        <v>231</v>
      </c>
      <c r="D234" s="139" t="s">
        <v>232</v>
      </c>
      <c r="E234" s="139" t="s">
        <v>329</v>
      </c>
    </row>
    <row r="235" spans="1:11" s="139" customFormat="1" ht="72" x14ac:dyDescent="0.3">
      <c r="A235" s="175" t="s">
        <v>401</v>
      </c>
      <c r="B235" s="175">
        <f t="shared" si="3"/>
        <v>224</v>
      </c>
      <c r="C235" s="139" t="s">
        <v>184</v>
      </c>
      <c r="D235" s="139" t="s">
        <v>189</v>
      </c>
      <c r="E235" s="139" t="s">
        <v>604</v>
      </c>
      <c r="J235" s="175" t="s">
        <v>402</v>
      </c>
      <c r="K235"/>
    </row>
    <row r="236" spans="1:11" ht="28.8" x14ac:dyDescent="0.3">
      <c r="A236" s="175" t="s">
        <v>401</v>
      </c>
      <c r="B236" s="175">
        <f t="shared" si="3"/>
        <v>225</v>
      </c>
      <c r="C236" s="139" t="s">
        <v>249</v>
      </c>
      <c r="D236" s="139" t="s">
        <v>241</v>
      </c>
      <c r="E236" s="139" t="s">
        <v>337</v>
      </c>
      <c r="J236" s="175" t="s">
        <v>402</v>
      </c>
    </row>
    <row r="237" spans="1:11" x14ac:dyDescent="0.3">
      <c r="A237" s="175" t="s">
        <v>401</v>
      </c>
      <c r="B237" s="175">
        <v>226</v>
      </c>
      <c r="J237" s="175" t="s">
        <v>402</v>
      </c>
    </row>
    <row r="238" spans="1:11" x14ac:dyDescent="0.3">
      <c r="A238" s="175" t="s">
        <v>401</v>
      </c>
      <c r="B238" s="175">
        <v>227</v>
      </c>
      <c r="J238" s="175" t="s">
        <v>402</v>
      </c>
    </row>
    <row r="239" spans="1:11" x14ac:dyDescent="0.3">
      <c r="A239" s="175" t="s">
        <v>401</v>
      </c>
      <c r="B239" s="175">
        <v>228</v>
      </c>
      <c r="J239" s="175" t="s">
        <v>402</v>
      </c>
    </row>
    <row r="240" spans="1:11" ht="43.2" x14ac:dyDescent="0.3">
      <c r="A240" s="175" t="s">
        <v>401</v>
      </c>
      <c r="B240" s="175">
        <f t="shared" si="3"/>
        <v>229</v>
      </c>
      <c r="C240" s="139" t="s">
        <v>475</v>
      </c>
      <c r="D240" s="139" t="s">
        <v>474</v>
      </c>
      <c r="E240" s="139" t="s">
        <v>476</v>
      </c>
      <c r="J240" s="175" t="s">
        <v>403</v>
      </c>
    </row>
    <row r="241" spans="1:10" ht="43.2" x14ac:dyDescent="0.3">
      <c r="A241" s="175" t="s">
        <v>401</v>
      </c>
      <c r="B241" s="175">
        <f t="shared" si="3"/>
        <v>230</v>
      </c>
      <c r="C241" s="139" t="s">
        <v>472</v>
      </c>
      <c r="D241" s="139" t="s">
        <v>473</v>
      </c>
      <c r="E241" s="139" t="s">
        <v>605</v>
      </c>
      <c r="J241" s="175" t="s">
        <v>403</v>
      </c>
    </row>
    <row r="242" spans="1:10" ht="43.2" x14ac:dyDescent="0.3">
      <c r="A242" s="175" t="s">
        <v>401</v>
      </c>
      <c r="B242" s="175">
        <v>231</v>
      </c>
      <c r="C242" s="139" t="s">
        <v>477</v>
      </c>
      <c r="D242" s="139" t="s">
        <v>479</v>
      </c>
      <c r="E242" s="139" t="s">
        <v>478</v>
      </c>
      <c r="J242" s="175" t="s">
        <v>403</v>
      </c>
    </row>
    <row r="243" spans="1:10" x14ac:dyDescent="0.3">
      <c r="A243" s="175" t="s">
        <v>401</v>
      </c>
      <c r="B243" s="175">
        <v>232</v>
      </c>
      <c r="J243" s="175" t="s">
        <v>403</v>
      </c>
    </row>
    <row r="244" spans="1:10" x14ac:dyDescent="0.3">
      <c r="A244" s="175" t="s">
        <v>401</v>
      </c>
      <c r="B244" s="175">
        <v>233</v>
      </c>
      <c r="J244" s="175" t="s">
        <v>403</v>
      </c>
    </row>
    <row r="245" spans="1:10" ht="28.8" x14ac:dyDescent="0.3">
      <c r="A245" s="175" t="s">
        <v>401</v>
      </c>
      <c r="B245" s="175">
        <v>234</v>
      </c>
      <c r="C245" s="139" t="s">
        <v>408</v>
      </c>
      <c r="D245" s="139" t="s">
        <v>409</v>
      </c>
      <c r="E245" s="139" t="s">
        <v>410</v>
      </c>
      <c r="J245" s="175" t="s">
        <v>404</v>
      </c>
    </row>
    <row r="246" spans="1:10" ht="43.2" x14ac:dyDescent="0.3">
      <c r="A246" s="175" t="s">
        <v>401</v>
      </c>
      <c r="B246" s="175">
        <v>235</v>
      </c>
      <c r="C246" s="139" t="s">
        <v>405</v>
      </c>
      <c r="D246" s="139" t="s">
        <v>406</v>
      </c>
      <c r="E246" s="139" t="s">
        <v>407</v>
      </c>
      <c r="J246" s="175" t="s">
        <v>404</v>
      </c>
    </row>
    <row r="247" spans="1:10" ht="43.2" x14ac:dyDescent="0.3">
      <c r="A247" s="175" t="s">
        <v>401</v>
      </c>
      <c r="B247" s="175">
        <v>236</v>
      </c>
      <c r="C247" s="139" t="s">
        <v>482</v>
      </c>
      <c r="D247" s="139" t="s">
        <v>483</v>
      </c>
      <c r="E247" s="139" t="s">
        <v>484</v>
      </c>
      <c r="J247" s="175" t="s">
        <v>404</v>
      </c>
    </row>
    <row r="248" spans="1:10" x14ac:dyDescent="0.3">
      <c r="A248" s="175" t="s">
        <v>401</v>
      </c>
      <c r="B248" s="175">
        <v>237</v>
      </c>
      <c r="J248" s="175" t="s">
        <v>404</v>
      </c>
    </row>
    <row r="249" spans="1:10" x14ac:dyDescent="0.3">
      <c r="A249" s="175" t="s">
        <v>401</v>
      </c>
      <c r="B249" s="175">
        <v>238</v>
      </c>
      <c r="J249" s="175" t="s">
        <v>404</v>
      </c>
    </row>
    <row r="250" spans="1:10" x14ac:dyDescent="0.3">
      <c r="A250" s="175" t="s">
        <v>401</v>
      </c>
      <c r="B250" s="175">
        <f t="shared" si="3"/>
        <v>239</v>
      </c>
      <c r="C250" s="139" t="s">
        <v>235</v>
      </c>
      <c r="D250" s="139" t="s">
        <v>236</v>
      </c>
      <c r="E250" s="139" t="s">
        <v>336</v>
      </c>
    </row>
    <row r="251" spans="1:10" x14ac:dyDescent="0.3">
      <c r="A251" s="175" t="s">
        <v>401</v>
      </c>
      <c r="B251" s="175">
        <f t="shared" si="3"/>
        <v>240</v>
      </c>
      <c r="C251" s="139" t="s">
        <v>242</v>
      </c>
      <c r="D251" s="139" t="s">
        <v>243</v>
      </c>
      <c r="E251" s="139" t="s">
        <v>606</v>
      </c>
    </row>
    <row r="252" spans="1:10" x14ac:dyDescent="0.3">
      <c r="A252" s="175" t="s">
        <v>401</v>
      </c>
      <c r="B252" s="175">
        <f t="shared" si="3"/>
        <v>241</v>
      </c>
      <c r="C252" s="139" t="s">
        <v>233</v>
      </c>
      <c r="D252" s="139" t="s">
        <v>234</v>
      </c>
      <c r="E252" s="139" t="s">
        <v>335</v>
      </c>
    </row>
    <row r="253" spans="1:10" ht="28.8" x14ac:dyDescent="0.3">
      <c r="A253" s="175" t="s">
        <v>401</v>
      </c>
      <c r="B253" s="175">
        <f t="shared" si="3"/>
        <v>242</v>
      </c>
      <c r="C253" s="139" t="s">
        <v>245</v>
      </c>
      <c r="D253" s="139" t="s">
        <v>246</v>
      </c>
      <c r="E253" s="139" t="s">
        <v>338</v>
      </c>
    </row>
    <row r="254" spans="1:10" x14ac:dyDescent="0.3">
      <c r="A254" s="175" t="s">
        <v>401</v>
      </c>
      <c r="B254" s="175">
        <v>243</v>
      </c>
    </row>
    <row r="255" spans="1:10" x14ac:dyDescent="0.3">
      <c r="A255" s="175" t="s">
        <v>401</v>
      </c>
      <c r="B255" s="175">
        <v>244</v>
      </c>
      <c r="C255" s="139" t="s">
        <v>486</v>
      </c>
      <c r="D255" s="139" t="s">
        <v>487</v>
      </c>
      <c r="E255" s="139" t="s">
        <v>488</v>
      </c>
    </row>
    <row r="256" spans="1:10" ht="43.2" x14ac:dyDescent="0.3">
      <c r="A256" s="175" t="s">
        <v>401</v>
      </c>
      <c r="B256" s="175">
        <v>245</v>
      </c>
      <c r="C256" s="139" t="s">
        <v>489</v>
      </c>
      <c r="D256" s="139" t="s">
        <v>491</v>
      </c>
      <c r="E256" s="139" t="s">
        <v>490</v>
      </c>
    </row>
    <row r="257" spans="1:11" x14ac:dyDescent="0.3">
      <c r="A257" s="175" t="s">
        <v>401</v>
      </c>
      <c r="B257" s="175">
        <v>246</v>
      </c>
    </row>
    <row r="258" spans="1:11" x14ac:dyDescent="0.3">
      <c r="A258" s="175" t="s">
        <v>401</v>
      </c>
      <c r="B258" s="175">
        <v>247</v>
      </c>
    </row>
    <row r="259" spans="1:11" x14ac:dyDescent="0.3">
      <c r="A259" s="183" t="s">
        <v>492</v>
      </c>
      <c r="B259" s="183">
        <v>248</v>
      </c>
      <c r="C259" s="184"/>
      <c r="D259" s="184"/>
      <c r="E259" s="184"/>
      <c r="F259" s="184"/>
      <c r="G259" s="184"/>
      <c r="H259" s="184"/>
      <c r="I259" s="184"/>
      <c r="J259" s="183"/>
    </row>
    <row r="260" spans="1:11" ht="43.2" x14ac:dyDescent="0.3">
      <c r="A260" s="175" t="s">
        <v>492</v>
      </c>
      <c r="B260" s="175">
        <v>249</v>
      </c>
      <c r="C260" s="139" t="s">
        <v>429</v>
      </c>
      <c r="D260" s="139" t="s">
        <v>534</v>
      </c>
      <c r="E260" s="139" t="s">
        <v>535</v>
      </c>
    </row>
    <row r="261" spans="1:11" ht="43.2" x14ac:dyDescent="0.3">
      <c r="A261" s="175" t="s">
        <v>492</v>
      </c>
      <c r="B261" s="175">
        <v>250</v>
      </c>
      <c r="C261" s="139" t="s">
        <v>411</v>
      </c>
      <c r="D261" s="139" t="s">
        <v>536</v>
      </c>
      <c r="E261" s="139" t="s">
        <v>537</v>
      </c>
    </row>
    <row r="262" spans="1:11" x14ac:dyDescent="0.3">
      <c r="A262" s="175" t="s">
        <v>492</v>
      </c>
      <c r="B262" s="175">
        <v>251</v>
      </c>
      <c r="C262" s="139" t="s">
        <v>412</v>
      </c>
      <c r="D262" s="139" t="s">
        <v>538</v>
      </c>
      <c r="E262" s="139" t="s">
        <v>539</v>
      </c>
    </row>
    <row r="263" spans="1:11" x14ac:dyDescent="0.3">
      <c r="A263" s="175" t="s">
        <v>492</v>
      </c>
      <c r="B263" s="175">
        <v>252</v>
      </c>
      <c r="C263" s="139" t="s">
        <v>413</v>
      </c>
      <c r="D263" s="139" t="s">
        <v>541</v>
      </c>
      <c r="E263" s="139" t="s">
        <v>540</v>
      </c>
    </row>
    <row r="264" spans="1:11" ht="129.6" x14ac:dyDescent="0.3">
      <c r="A264" s="175" t="s">
        <v>492</v>
      </c>
      <c r="B264" s="175">
        <v>253</v>
      </c>
      <c r="C264" s="139" t="s">
        <v>506</v>
      </c>
      <c r="D264" s="139" t="s">
        <v>542</v>
      </c>
      <c r="E264" s="139" t="s">
        <v>607</v>
      </c>
    </row>
    <row r="265" spans="1:11" ht="43.2" x14ac:dyDescent="0.3">
      <c r="A265" s="175" t="s">
        <v>492</v>
      </c>
      <c r="B265" s="175">
        <v>254</v>
      </c>
      <c r="C265" s="139" t="s">
        <v>450</v>
      </c>
      <c r="D265" s="139" t="s">
        <v>543</v>
      </c>
      <c r="E265" s="139" t="s">
        <v>544</v>
      </c>
    </row>
    <row r="266" spans="1:11" ht="43.2" x14ac:dyDescent="0.3">
      <c r="A266" s="175" t="s">
        <v>492</v>
      </c>
      <c r="B266" s="175">
        <v>255</v>
      </c>
      <c r="C266" s="139" t="s">
        <v>434</v>
      </c>
      <c r="D266" s="139" t="s">
        <v>545</v>
      </c>
      <c r="E266" s="139" t="s">
        <v>608</v>
      </c>
    </row>
    <row r="267" spans="1:11" ht="43.2" x14ac:dyDescent="0.3">
      <c r="A267" s="175" t="s">
        <v>492</v>
      </c>
      <c r="B267" s="175">
        <v>256</v>
      </c>
      <c r="C267" s="139" t="s">
        <v>433</v>
      </c>
      <c r="D267" s="139" t="s">
        <v>546</v>
      </c>
      <c r="E267" s="139" t="s">
        <v>609</v>
      </c>
    </row>
    <row r="268" spans="1:11" ht="237.45" customHeight="1" x14ac:dyDescent="0.3">
      <c r="A268" s="175" t="s">
        <v>492</v>
      </c>
      <c r="B268" s="175">
        <v>257</v>
      </c>
      <c r="C268" s="139" t="s">
        <v>505</v>
      </c>
      <c r="D268" s="139" t="s">
        <v>610</v>
      </c>
      <c r="E268" s="139" t="s">
        <v>611</v>
      </c>
    </row>
    <row r="269" spans="1:11" ht="43.2" x14ac:dyDescent="0.3">
      <c r="A269" s="175" t="s">
        <v>492</v>
      </c>
      <c r="B269" s="175">
        <v>258</v>
      </c>
      <c r="C269" s="139" t="s">
        <v>509</v>
      </c>
      <c r="D269" s="139" t="s">
        <v>547</v>
      </c>
      <c r="E269" s="139" t="s">
        <v>548</v>
      </c>
    </row>
    <row r="270" spans="1:11" s="139" customFormat="1" ht="72" x14ac:dyDescent="0.3">
      <c r="A270" s="175" t="s">
        <v>492</v>
      </c>
      <c r="B270" s="175">
        <v>259</v>
      </c>
      <c r="C270" s="139" t="s">
        <v>430</v>
      </c>
      <c r="D270" s="139" t="s">
        <v>549</v>
      </c>
      <c r="E270" s="139" t="s">
        <v>612</v>
      </c>
      <c r="J270" s="175"/>
      <c r="K270"/>
    </row>
    <row r="271" spans="1:11" s="139" customFormat="1" ht="57.6" x14ac:dyDescent="0.3">
      <c r="A271" s="175" t="s">
        <v>492</v>
      </c>
      <c r="B271" s="175">
        <v>260</v>
      </c>
      <c r="C271" s="139" t="s">
        <v>417</v>
      </c>
      <c r="D271" s="139" t="s">
        <v>550</v>
      </c>
      <c r="E271" s="139" t="s">
        <v>551</v>
      </c>
      <c r="J271" s="175"/>
      <c r="K271"/>
    </row>
    <row r="272" spans="1:11" s="139" customFormat="1" ht="43.2" x14ac:dyDescent="0.3">
      <c r="A272" s="175" t="s">
        <v>492</v>
      </c>
      <c r="B272" s="175">
        <v>261</v>
      </c>
      <c r="C272" s="139" t="s">
        <v>418</v>
      </c>
      <c r="D272" s="139" t="s">
        <v>552</v>
      </c>
      <c r="E272" s="139" t="s">
        <v>553</v>
      </c>
      <c r="J272" s="175"/>
      <c r="K272"/>
    </row>
    <row r="273" spans="1:11" s="139" customFormat="1" ht="57.6" x14ac:dyDescent="0.3">
      <c r="A273" s="175" t="s">
        <v>492</v>
      </c>
      <c r="B273" s="175">
        <v>262</v>
      </c>
      <c r="C273" s="139" t="s">
        <v>466</v>
      </c>
      <c r="D273" s="139" t="s">
        <v>554</v>
      </c>
      <c r="E273" s="139" t="s">
        <v>555</v>
      </c>
      <c r="J273" s="175"/>
      <c r="K273"/>
    </row>
    <row r="274" spans="1:11" s="139" customFormat="1" ht="43.2" x14ac:dyDescent="0.3">
      <c r="A274" s="175" t="s">
        <v>492</v>
      </c>
      <c r="B274" s="175">
        <v>263</v>
      </c>
      <c r="C274" s="139" t="s">
        <v>467</v>
      </c>
      <c r="D274" s="139" t="s">
        <v>556</v>
      </c>
      <c r="E274" s="139" t="s">
        <v>557</v>
      </c>
      <c r="J274" s="175"/>
      <c r="K274"/>
    </row>
    <row r="275" spans="1:11" s="139" customFormat="1" ht="28.8" x14ac:dyDescent="0.3">
      <c r="A275" s="175" t="s">
        <v>492</v>
      </c>
      <c r="B275" s="175">
        <v>264</v>
      </c>
      <c r="C275" s="139" t="s">
        <v>426</v>
      </c>
      <c r="D275" s="139" t="s">
        <v>558</v>
      </c>
      <c r="E275" s="139" t="s">
        <v>559</v>
      </c>
      <c r="J275" s="175"/>
      <c r="K275"/>
    </row>
    <row r="276" spans="1:11" ht="57.6" x14ac:dyDescent="0.3">
      <c r="A276" s="175" t="s">
        <v>492</v>
      </c>
      <c r="B276" s="175">
        <v>265</v>
      </c>
      <c r="C276" s="139" t="s">
        <v>432</v>
      </c>
      <c r="D276" s="139" t="s">
        <v>560</v>
      </c>
      <c r="E276" s="139" t="s">
        <v>561</v>
      </c>
    </row>
    <row r="277" spans="1:11" ht="43.2" x14ac:dyDescent="0.3">
      <c r="A277" s="175" t="s">
        <v>492</v>
      </c>
      <c r="B277" s="175">
        <v>266</v>
      </c>
      <c r="C277" s="139" t="s">
        <v>427</v>
      </c>
      <c r="D277" s="139" t="s">
        <v>562</v>
      </c>
      <c r="E277" s="139" t="s">
        <v>563</v>
      </c>
    </row>
    <row r="278" spans="1:11" ht="43.2" x14ac:dyDescent="0.3">
      <c r="A278" s="175" t="s">
        <v>492</v>
      </c>
      <c r="B278" s="175">
        <v>267</v>
      </c>
      <c r="C278" s="139" t="s">
        <v>416</v>
      </c>
      <c r="D278" s="139" t="s">
        <v>564</v>
      </c>
      <c r="E278" s="139" t="s">
        <v>613</v>
      </c>
    </row>
    <row r="279" spans="1:11" ht="28.8" x14ac:dyDescent="0.3">
      <c r="A279" s="175" t="s">
        <v>492</v>
      </c>
      <c r="B279" s="175">
        <v>268</v>
      </c>
      <c r="C279" s="139" t="s">
        <v>431</v>
      </c>
      <c r="D279" s="139" t="s">
        <v>565</v>
      </c>
      <c r="E279" s="139" t="s">
        <v>614</v>
      </c>
    </row>
    <row r="280" spans="1:11" x14ac:dyDescent="0.3">
      <c r="A280" s="175" t="s">
        <v>492</v>
      </c>
      <c r="B280" s="175">
        <v>269</v>
      </c>
    </row>
    <row r="281" spans="1:11" x14ac:dyDescent="0.3">
      <c r="A281" s="175" t="s">
        <v>492</v>
      </c>
      <c r="B281" s="175">
        <v>270</v>
      </c>
    </row>
    <row r="282" spans="1:11" x14ac:dyDescent="0.3">
      <c r="A282" s="175" t="s">
        <v>492</v>
      </c>
      <c r="B282" s="175">
        <v>271</v>
      </c>
    </row>
    <row r="283" spans="1:11" x14ac:dyDescent="0.3">
      <c r="A283" s="175" t="s">
        <v>492</v>
      </c>
      <c r="B283" s="175">
        <v>272</v>
      </c>
    </row>
    <row r="284" spans="1:11" x14ac:dyDescent="0.3">
      <c r="A284" s="175" t="s">
        <v>492</v>
      </c>
      <c r="B284" s="175">
        <v>273</v>
      </c>
    </row>
    <row r="285" spans="1:11" x14ac:dyDescent="0.3">
      <c r="A285" s="175" t="s">
        <v>492</v>
      </c>
      <c r="B285" s="175">
        <v>274</v>
      </c>
      <c r="C285" s="139" t="s">
        <v>419</v>
      </c>
      <c r="D285" s="139" t="s">
        <v>507</v>
      </c>
      <c r="E285" s="139" t="s">
        <v>508</v>
      </c>
    </row>
    <row r="286" spans="1:11" x14ac:dyDescent="0.3">
      <c r="A286" s="175" t="s">
        <v>492</v>
      </c>
      <c r="B286" s="175">
        <v>275</v>
      </c>
      <c r="C286" s="139" t="s">
        <v>511</v>
      </c>
      <c r="D286" s="139" t="s">
        <v>517</v>
      </c>
      <c r="E286" s="139" t="s">
        <v>518</v>
      </c>
    </row>
    <row r="287" spans="1:11" x14ac:dyDescent="0.3">
      <c r="A287" s="175" t="s">
        <v>492</v>
      </c>
      <c r="B287" s="175">
        <v>276</v>
      </c>
      <c r="C287" s="139" t="s">
        <v>512</v>
      </c>
      <c r="D287" s="139" t="s">
        <v>519</v>
      </c>
      <c r="E287" s="139" t="s">
        <v>520</v>
      </c>
    </row>
    <row r="288" spans="1:11" x14ac:dyDescent="0.3">
      <c r="A288" s="175" t="s">
        <v>492</v>
      </c>
      <c r="B288" s="175">
        <v>277</v>
      </c>
      <c r="C288" s="139" t="s">
        <v>513</v>
      </c>
      <c r="D288" s="139" t="s">
        <v>521</v>
      </c>
      <c r="E288" s="139" t="s">
        <v>522</v>
      </c>
    </row>
    <row r="289" spans="1:5" x14ac:dyDescent="0.3">
      <c r="A289" s="175" t="s">
        <v>492</v>
      </c>
      <c r="B289" s="175">
        <v>278</v>
      </c>
      <c r="C289" s="139" t="s">
        <v>510</v>
      </c>
      <c r="D289" s="139" t="s">
        <v>523</v>
      </c>
      <c r="E289" s="139" t="s">
        <v>524</v>
      </c>
    </row>
    <row r="290" spans="1:5" x14ac:dyDescent="0.3">
      <c r="A290" s="175" t="s">
        <v>492</v>
      </c>
      <c r="B290" s="175">
        <v>279</v>
      </c>
      <c r="C290" s="139" t="s">
        <v>515</v>
      </c>
      <c r="D290" s="139" t="s">
        <v>525</v>
      </c>
      <c r="E290" s="139" t="s">
        <v>526</v>
      </c>
    </row>
    <row r="291" spans="1:5" x14ac:dyDescent="0.3">
      <c r="A291" s="175" t="s">
        <v>492</v>
      </c>
      <c r="B291" s="175">
        <v>280</v>
      </c>
      <c r="C291" s="139" t="s">
        <v>514</v>
      </c>
      <c r="D291" s="139" t="s">
        <v>527</v>
      </c>
      <c r="E291" s="139" t="s">
        <v>528</v>
      </c>
    </row>
    <row r="292" spans="1:5" x14ac:dyDescent="0.3">
      <c r="A292" s="175" t="s">
        <v>492</v>
      </c>
      <c r="B292" s="175">
        <v>281</v>
      </c>
      <c r="C292" s="139" t="s">
        <v>516</v>
      </c>
      <c r="D292" s="139" t="s">
        <v>529</v>
      </c>
      <c r="E292" s="139" t="s">
        <v>530</v>
      </c>
    </row>
    <row r="293" spans="1:5" x14ac:dyDescent="0.3">
      <c r="A293" s="175" t="s">
        <v>492</v>
      </c>
      <c r="B293" s="175">
        <v>282</v>
      </c>
      <c r="C293" s="139" t="s">
        <v>532</v>
      </c>
      <c r="D293" s="139" t="s">
        <v>531</v>
      </c>
      <c r="E293" s="139" t="s">
        <v>533</v>
      </c>
    </row>
    <row r="294" spans="1:5" x14ac:dyDescent="0.3">
      <c r="A294" s="175" t="s">
        <v>492</v>
      </c>
      <c r="B294" s="175">
        <v>283</v>
      </c>
      <c r="C294" s="139" t="s">
        <v>566</v>
      </c>
      <c r="D294" s="139" t="s">
        <v>567</v>
      </c>
      <c r="E294" s="139" t="s">
        <v>568</v>
      </c>
    </row>
    <row r="295" spans="1:5" x14ac:dyDescent="0.3">
      <c r="A295" s="175" t="s">
        <v>492</v>
      </c>
      <c r="B295" s="175">
        <v>284</v>
      </c>
      <c r="C295" s="139" t="s">
        <v>428</v>
      </c>
      <c r="D295" s="139" t="s">
        <v>569</v>
      </c>
      <c r="E295" s="139" t="s">
        <v>570</v>
      </c>
    </row>
  </sheetData>
  <phoneticPr fontId="35" type="noConversion"/>
  <pageMargins left="0.7" right="0.7" top="0.78740157499999996" bottom="0.78740157499999996" header="0.3" footer="0.3"/>
  <pageSetup paperSize="9" scale="5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6B21-E2EF-425F-9EB4-357AC43845AE}">
  <sheetPr>
    <tabColor theme="0" tint="-0.14999847407452621"/>
  </sheetPr>
  <dimension ref="A1:F87"/>
  <sheetViews>
    <sheetView topLeftCell="A37" workbookViewId="0">
      <selection activeCell="E63" sqref="E63"/>
    </sheetView>
  </sheetViews>
  <sheetFormatPr baseColWidth="10" defaultColWidth="10.88671875" defaultRowHeight="14.4" x14ac:dyDescent="0.3"/>
  <cols>
    <col min="3" max="4" width="19.6640625" customWidth="1"/>
  </cols>
  <sheetData>
    <row r="1" spans="1:6" x14ac:dyDescent="0.3">
      <c r="A1" t="s">
        <v>238</v>
      </c>
    </row>
    <row r="2" spans="1:6" x14ac:dyDescent="0.3">
      <c r="C2" t="s">
        <v>469</v>
      </c>
      <c r="E2" t="s">
        <v>468</v>
      </c>
    </row>
    <row r="3" spans="1:6" x14ac:dyDescent="0.3">
      <c r="B3" t="s">
        <v>442</v>
      </c>
      <c r="C3" t="b">
        <f>OR(ISBLANK('D1-D3'!$C$14),ISBLANK('D1-D3'!$K$14),ISBLANK('D1-D3'!$P$14),ISBLANK('D1-D3'!$U$14))</f>
        <v>1</v>
      </c>
      <c r="E3">
        <f>IF($C$3=FALSE,2,0)</f>
        <v>0</v>
      </c>
      <c r="F3">
        <f>E3</f>
        <v>0</v>
      </c>
    </row>
    <row r="4" spans="1:6" x14ac:dyDescent="0.3">
      <c r="B4" t="s">
        <v>443</v>
      </c>
      <c r="C4" t="b">
        <f>OR(ISBLANK('D1-D3'!$C$16),ISBLANK('D1-D3'!$K$16))</f>
        <v>1</v>
      </c>
      <c r="E4">
        <f>IF($C$4=FALSE,2,0)</f>
        <v>0</v>
      </c>
      <c r="F4">
        <f>E4</f>
        <v>0</v>
      </c>
    </row>
    <row r="6" spans="1:6" x14ac:dyDescent="0.3">
      <c r="B6" t="s">
        <v>444</v>
      </c>
      <c r="C6" t="b">
        <f>ISBLANK('D1-D3'!$C$25)</f>
        <v>1</v>
      </c>
      <c r="E6">
        <f>IF($C$6=FALSE,1,0)</f>
        <v>0</v>
      </c>
      <c r="F6">
        <f>E6</f>
        <v>0</v>
      </c>
    </row>
    <row r="7" spans="1:6" x14ac:dyDescent="0.3">
      <c r="B7" t="s">
        <v>445</v>
      </c>
      <c r="C7" t="b">
        <f>ISBLANK('D1-D3'!$N$25)</f>
        <v>1</v>
      </c>
      <c r="E7">
        <f>IF(C7=FALSE,0.5,0)</f>
        <v>0</v>
      </c>
    </row>
    <row r="8" spans="1:6" x14ac:dyDescent="0.3">
      <c r="B8" t="s">
        <v>445</v>
      </c>
      <c r="C8" t="b">
        <f>ISBLANK('D1-D3'!$N$28)</f>
        <v>1</v>
      </c>
      <c r="E8">
        <f t="shared" ref="E8:E12" si="0">IF(C8=FALSE,0.5,0)</f>
        <v>0</v>
      </c>
    </row>
    <row r="9" spans="1:6" x14ac:dyDescent="0.3">
      <c r="B9" t="s">
        <v>445</v>
      </c>
      <c r="C9" t="b">
        <f>ISBLANK('D1-D3'!$N$31)</f>
        <v>1</v>
      </c>
      <c r="E9">
        <f t="shared" si="0"/>
        <v>0</v>
      </c>
    </row>
    <row r="10" spans="1:6" x14ac:dyDescent="0.3">
      <c r="B10" t="s">
        <v>445</v>
      </c>
      <c r="C10" t="b">
        <f>ISBLANK('D1-D3'!$X$25)</f>
        <v>1</v>
      </c>
      <c r="E10">
        <f t="shared" si="0"/>
        <v>0</v>
      </c>
    </row>
    <row r="11" spans="1:6" x14ac:dyDescent="0.3">
      <c r="B11" t="s">
        <v>445</v>
      </c>
      <c r="C11" t="b">
        <f>ISBLANK('D1-D3'!$X$28)</f>
        <v>1</v>
      </c>
      <c r="E11">
        <f t="shared" si="0"/>
        <v>0</v>
      </c>
    </row>
    <row r="12" spans="1:6" x14ac:dyDescent="0.3">
      <c r="B12" t="s">
        <v>445</v>
      </c>
      <c r="C12" t="b">
        <f>ISBLANK('D1-D3'!$X$31)</f>
        <v>1</v>
      </c>
      <c r="E12">
        <f t="shared" si="0"/>
        <v>0</v>
      </c>
      <c r="F12">
        <f>SUM(E7:E12)</f>
        <v>0</v>
      </c>
    </row>
    <row r="13" spans="1:6" x14ac:dyDescent="0.3">
      <c r="B13" t="s">
        <v>446</v>
      </c>
      <c r="C13" t="b">
        <f>ISBLANK('D1-D3'!$O$51)</f>
        <v>1</v>
      </c>
      <c r="E13">
        <f>IF($C$13=FALSE,1,0)</f>
        <v>0</v>
      </c>
    </row>
    <row r="14" spans="1:6" x14ac:dyDescent="0.3">
      <c r="B14" t="s">
        <v>446</v>
      </c>
      <c r="C14" t="b">
        <f>ISBLANK('D1-D3'!$O$52)</f>
        <v>1</v>
      </c>
      <c r="E14">
        <f>IF($C$14=FALSE,1,0)</f>
        <v>0</v>
      </c>
    </row>
    <row r="15" spans="1:6" x14ac:dyDescent="0.3">
      <c r="B15" t="s">
        <v>446</v>
      </c>
      <c r="C15" t="b">
        <f>ISBLANK('D1-D3'!$AC$51)</f>
        <v>1</v>
      </c>
      <c r="E15">
        <f>IF($C$15=FALSE,1,0)</f>
        <v>0</v>
      </c>
      <c r="F15">
        <f>SUM(E13:E15)</f>
        <v>0</v>
      </c>
    </row>
    <row r="17" spans="2:6" x14ac:dyDescent="0.3">
      <c r="B17" t="s">
        <v>451</v>
      </c>
      <c r="C17" t="b">
        <f>OR(ISBLANK('D1-D3'!$C$58),ISBLANK('D1-D3'!$R$58),ISBLANK('D1-D3'!$W$58),ISBLANK('D1-D3'!$AD$58),ISBLANK('D1-D3'!$AE$58),ISBLANK('D1-D3'!$AF$58))</f>
        <v>1</v>
      </c>
      <c r="E17">
        <f>IF($C$17=FALSE,1,0)</f>
        <v>0</v>
      </c>
    </row>
    <row r="18" spans="2:6" x14ac:dyDescent="0.3">
      <c r="B18" t="s">
        <v>451</v>
      </c>
      <c r="C18" t="b">
        <f>OR(ISBLANK('D1-D3'!$C$59),ISBLANK('D1-D3'!$R$59),ISBLANK('D1-D3'!$W$59),ISBLANK('D1-D3'!$AD$59),ISBLANK('D1-D3'!$AE$59),ISBLANK('D1-D3'!$AF$59))</f>
        <v>1</v>
      </c>
      <c r="E18">
        <f>IF($C$18=FALSE,1,0)</f>
        <v>0</v>
      </c>
    </row>
    <row r="19" spans="2:6" x14ac:dyDescent="0.3">
      <c r="B19" t="s">
        <v>451</v>
      </c>
      <c r="C19" t="b">
        <f>OR(ISBLANK('D1-D3'!$C$60),ISBLANK('D1-D3'!$R$60),ISBLANK('D1-D3'!$W$60),ISBLANK('D1-D3'!$AD$60),ISBLANK('D1-D3'!$AE$60),ISBLANK('D1-D3'!$AF$60))</f>
        <v>1</v>
      </c>
      <c r="E19">
        <f>IF($C$19=FALSE,1,0)</f>
        <v>0</v>
      </c>
      <c r="F19">
        <f>SUM(E17:E19)</f>
        <v>0</v>
      </c>
    </row>
    <row r="20" spans="2:6" x14ac:dyDescent="0.3">
      <c r="B20" t="s">
        <v>452</v>
      </c>
      <c r="C20" t="b">
        <f>ISBLANK('D1-D3'!$O$70)</f>
        <v>1</v>
      </c>
      <c r="E20">
        <f>IF($C$20=FALSE,1,0)</f>
        <v>0</v>
      </c>
    </row>
    <row r="21" spans="2:6" x14ac:dyDescent="0.3">
      <c r="B21" t="s">
        <v>452</v>
      </c>
      <c r="C21" t="b">
        <f>ISBLANK('D1-D3'!$S$70)</f>
        <v>1</v>
      </c>
      <c r="E21">
        <f>IF($C$21=FALSE,1,0)</f>
        <v>0</v>
      </c>
      <c r="F21">
        <f>SUM(E20:E21)</f>
        <v>0</v>
      </c>
    </row>
    <row r="23" spans="2:6" x14ac:dyDescent="0.3">
      <c r="B23" t="s">
        <v>453</v>
      </c>
      <c r="C23" t="b">
        <f>ISBLANK('D4-D5'!$C$14)</f>
        <v>1</v>
      </c>
      <c r="E23">
        <f>IF(C23=FALSE,1.5,0)</f>
        <v>0</v>
      </c>
    </row>
    <row r="24" spans="2:6" x14ac:dyDescent="0.3">
      <c r="B24" t="s">
        <v>453</v>
      </c>
      <c r="C24" t="b">
        <f>ISBLANK('D4-D5'!$C$25)</f>
        <v>1</v>
      </c>
      <c r="E24">
        <f>IF(C24=FALSE,1.5,0)</f>
        <v>0</v>
      </c>
    </row>
    <row r="25" spans="2:6" x14ac:dyDescent="0.3">
      <c r="B25" t="s">
        <v>470</v>
      </c>
      <c r="C25" t="b">
        <f>IF(AND('D4-D5'!$AR$12=TRUE,'D4-D5'!$C$21&lt;&gt;""),FALSE,TRUE)</f>
        <v>1</v>
      </c>
      <c r="D25" t="b">
        <f>IF('D4-D5'!$AR$9=TRUE,FALSE,TRUE)</f>
        <v>1</v>
      </c>
      <c r="E25">
        <f>IF(OR(C25=FALSE,D25=FALSE),1,0)</f>
        <v>0</v>
      </c>
    </row>
    <row r="26" spans="2:6" x14ac:dyDescent="0.3">
      <c r="B26" t="s">
        <v>471</v>
      </c>
      <c r="C26" t="b">
        <f>IF(AND('D4-D5'!$AR$18=TRUE,'D4-D5'!$C$32&lt;&gt;""),FALSE,TRUE)</f>
        <v>1</v>
      </c>
      <c r="D26" t="b">
        <f>IF('D4-D5'!$AR$15=TRUE,FALSE,TRUE)</f>
        <v>1</v>
      </c>
      <c r="E26">
        <f>IF(OR(C26=FALSE,D26=FALSE),1,0)</f>
        <v>0</v>
      </c>
      <c r="F26">
        <f>SUM(E23:E26)</f>
        <v>0</v>
      </c>
    </row>
    <row r="27" spans="2:6" x14ac:dyDescent="0.3">
      <c r="B27" t="s">
        <v>129</v>
      </c>
      <c r="C27" t="b">
        <f>ISBLANK(Ishikawa!$C$20)</f>
        <v>1</v>
      </c>
      <c r="E27">
        <f>IF(C27=FALSE,0.25,0)</f>
        <v>0</v>
      </c>
    </row>
    <row r="28" spans="2:6" x14ac:dyDescent="0.3">
      <c r="B28" t="s">
        <v>129</v>
      </c>
      <c r="C28" t="b">
        <f>ISBLANK(Ishikawa!$C$22)</f>
        <v>1</v>
      </c>
      <c r="E28">
        <f t="shared" ref="E28:E50" si="1">IF(C28=FALSE,0.25,0)</f>
        <v>0</v>
      </c>
    </row>
    <row r="29" spans="2:6" x14ac:dyDescent="0.3">
      <c r="B29" t="s">
        <v>129</v>
      </c>
      <c r="C29" t="b">
        <f>ISBLANK(Ishikawa!$L$20)</f>
        <v>1</v>
      </c>
      <c r="E29">
        <f t="shared" si="1"/>
        <v>0</v>
      </c>
    </row>
    <row r="30" spans="2:6" x14ac:dyDescent="0.3">
      <c r="B30" t="s">
        <v>129</v>
      </c>
      <c r="C30" t="b">
        <f>ISBLANK(Ishikawa!$L$22)</f>
        <v>1</v>
      </c>
      <c r="E30">
        <f t="shared" si="1"/>
        <v>0</v>
      </c>
    </row>
    <row r="31" spans="2:6" x14ac:dyDescent="0.3">
      <c r="B31" t="s">
        <v>129</v>
      </c>
      <c r="C31" t="b">
        <f>ISBLANK(Ishikawa!$U$20)</f>
        <v>1</v>
      </c>
      <c r="E31">
        <f t="shared" si="1"/>
        <v>0</v>
      </c>
    </row>
    <row r="32" spans="2:6" x14ac:dyDescent="0.3">
      <c r="B32" t="s">
        <v>129</v>
      </c>
      <c r="C32" t="b">
        <f>ISBLANK(Ishikawa!$U$22)</f>
        <v>1</v>
      </c>
      <c r="E32">
        <f t="shared" si="1"/>
        <v>0</v>
      </c>
    </row>
    <row r="33" spans="2:5" x14ac:dyDescent="0.3">
      <c r="B33" t="s">
        <v>129</v>
      </c>
      <c r="C33" t="b">
        <f>ISBLANK(Ishikawa!$AG$20)</f>
        <v>1</v>
      </c>
      <c r="E33">
        <f t="shared" si="1"/>
        <v>0</v>
      </c>
    </row>
    <row r="34" spans="2:5" x14ac:dyDescent="0.3">
      <c r="B34" t="s">
        <v>129</v>
      </c>
      <c r="C34" t="b">
        <f>ISBLANK(Ishikawa!$AG$22)</f>
        <v>1</v>
      </c>
      <c r="E34">
        <f t="shared" si="1"/>
        <v>0</v>
      </c>
    </row>
    <row r="35" spans="2:5" x14ac:dyDescent="0.3">
      <c r="B35" t="s">
        <v>129</v>
      </c>
      <c r="C35" t="b">
        <f>ISBLANK(Ishikawa!$AP$20)</f>
        <v>1</v>
      </c>
      <c r="E35">
        <f t="shared" si="1"/>
        <v>0</v>
      </c>
    </row>
    <row r="36" spans="2:5" x14ac:dyDescent="0.3">
      <c r="B36" t="s">
        <v>129</v>
      </c>
      <c r="C36" t="b">
        <f>ISBLANK(Ishikawa!$AP$22)</f>
        <v>1</v>
      </c>
      <c r="E36">
        <f t="shared" si="1"/>
        <v>0</v>
      </c>
    </row>
    <row r="37" spans="2:5" x14ac:dyDescent="0.3">
      <c r="B37" t="s">
        <v>129</v>
      </c>
      <c r="C37" t="b">
        <f>ISBLANK(Ishikawa!$AY$20)</f>
        <v>1</v>
      </c>
      <c r="E37">
        <f t="shared" si="1"/>
        <v>0</v>
      </c>
    </row>
    <row r="38" spans="2:5" x14ac:dyDescent="0.3">
      <c r="B38" t="s">
        <v>129</v>
      </c>
      <c r="C38" t="b">
        <f>ISBLANK(Ishikawa!$AY$22)</f>
        <v>1</v>
      </c>
      <c r="E38">
        <f t="shared" si="1"/>
        <v>0</v>
      </c>
    </row>
    <row r="39" spans="2:5" x14ac:dyDescent="0.3">
      <c r="B39" t="s">
        <v>129</v>
      </c>
      <c r="C39" t="b">
        <f>ISBLANK(Ishikawa!$C$53)</f>
        <v>1</v>
      </c>
      <c r="E39">
        <f t="shared" si="1"/>
        <v>0</v>
      </c>
    </row>
    <row r="40" spans="2:5" x14ac:dyDescent="0.3">
      <c r="B40" t="s">
        <v>129</v>
      </c>
      <c r="C40" t="b">
        <f>ISBLANK(Ishikawa!$C$55)</f>
        <v>1</v>
      </c>
      <c r="E40">
        <f t="shared" si="1"/>
        <v>0</v>
      </c>
    </row>
    <row r="41" spans="2:5" x14ac:dyDescent="0.3">
      <c r="B41" t="s">
        <v>129</v>
      </c>
      <c r="C41" t="b">
        <f>ISBLANK(Ishikawa!$L$53)</f>
        <v>1</v>
      </c>
      <c r="E41">
        <f t="shared" si="1"/>
        <v>0</v>
      </c>
    </row>
    <row r="42" spans="2:5" x14ac:dyDescent="0.3">
      <c r="B42" t="s">
        <v>129</v>
      </c>
      <c r="C42" t="b">
        <f>ISBLANK(Ishikawa!$L$55)</f>
        <v>1</v>
      </c>
      <c r="E42">
        <f t="shared" si="1"/>
        <v>0</v>
      </c>
    </row>
    <row r="43" spans="2:5" x14ac:dyDescent="0.3">
      <c r="B43" t="s">
        <v>129</v>
      </c>
      <c r="C43" t="b">
        <f>ISBLANK(Ishikawa!$U$53)</f>
        <v>1</v>
      </c>
      <c r="E43">
        <f t="shared" si="1"/>
        <v>0</v>
      </c>
    </row>
    <row r="44" spans="2:5" x14ac:dyDescent="0.3">
      <c r="B44" t="s">
        <v>129</v>
      </c>
      <c r="C44" t="b">
        <f>ISBLANK(Ishikawa!$U$55)</f>
        <v>1</v>
      </c>
      <c r="E44">
        <f t="shared" si="1"/>
        <v>0</v>
      </c>
    </row>
    <row r="45" spans="2:5" x14ac:dyDescent="0.3">
      <c r="B45" t="s">
        <v>129</v>
      </c>
      <c r="C45" t="b">
        <f>ISBLANK(Ishikawa!$AG$53)</f>
        <v>1</v>
      </c>
      <c r="E45">
        <f t="shared" si="1"/>
        <v>0</v>
      </c>
    </row>
    <row r="46" spans="2:5" x14ac:dyDescent="0.3">
      <c r="B46" t="s">
        <v>129</v>
      </c>
      <c r="C46" t="b">
        <f>ISBLANK(Ishikawa!$AG$55)</f>
        <v>1</v>
      </c>
      <c r="E46">
        <f t="shared" si="1"/>
        <v>0</v>
      </c>
    </row>
    <row r="47" spans="2:5" x14ac:dyDescent="0.3">
      <c r="B47" t="s">
        <v>129</v>
      </c>
      <c r="C47" t="b">
        <f>ISBLANK(Ishikawa!$AP$53)</f>
        <v>1</v>
      </c>
      <c r="E47">
        <f t="shared" si="1"/>
        <v>0</v>
      </c>
    </row>
    <row r="48" spans="2:5" x14ac:dyDescent="0.3">
      <c r="B48" t="s">
        <v>129</v>
      </c>
      <c r="C48" t="b">
        <f>ISBLANK(Ishikawa!$AP$55)</f>
        <v>1</v>
      </c>
      <c r="E48">
        <f t="shared" si="1"/>
        <v>0</v>
      </c>
    </row>
    <row r="49" spans="2:6" x14ac:dyDescent="0.3">
      <c r="B49" t="s">
        <v>129</v>
      </c>
      <c r="C49" t="b">
        <f>ISBLANK(Ishikawa!$AY$53)</f>
        <v>1</v>
      </c>
      <c r="E49">
        <f t="shared" si="1"/>
        <v>0</v>
      </c>
    </row>
    <row r="50" spans="2:6" x14ac:dyDescent="0.3">
      <c r="B50" t="s">
        <v>129</v>
      </c>
      <c r="C50" t="b">
        <f>ISBLANK(Ishikawa!$AY$55)</f>
        <v>1</v>
      </c>
      <c r="E50">
        <f t="shared" si="1"/>
        <v>0</v>
      </c>
      <c r="F50">
        <f>SUM(E27:E50)</f>
        <v>0</v>
      </c>
    </row>
    <row r="51" spans="2:6" x14ac:dyDescent="0.3">
      <c r="B51" t="s">
        <v>457</v>
      </c>
      <c r="C51" t="b">
        <f>OR(ISBLANK('5- Why'!$I$12),ISBLANK('5- Why'!$I$14))</f>
        <v>1</v>
      </c>
      <c r="E51">
        <f>IF(C51=FALSE,1,0)</f>
        <v>0</v>
      </c>
    </row>
    <row r="52" spans="2:6" x14ac:dyDescent="0.3">
      <c r="B52" t="s">
        <v>457</v>
      </c>
      <c r="C52" t="b">
        <f>OR(ISBLANK('5- Why'!$I$18),ISBLANK('5- Why'!$I$20))</f>
        <v>1</v>
      </c>
      <c r="E52">
        <f t="shared" ref="E52:E56" si="2">IF(C52=FALSE,1,0)</f>
        <v>0</v>
      </c>
    </row>
    <row r="53" spans="2:6" x14ac:dyDescent="0.3">
      <c r="B53" t="s">
        <v>457</v>
      </c>
      <c r="C53" t="b">
        <f>OR(ISBLANK('5- Why'!$I$24),ISBLANK('5- Why'!$I$26))</f>
        <v>1</v>
      </c>
      <c r="E53">
        <f t="shared" si="2"/>
        <v>0</v>
      </c>
    </row>
    <row r="54" spans="2:6" x14ac:dyDescent="0.3">
      <c r="B54" t="s">
        <v>457</v>
      </c>
      <c r="C54" t="b">
        <f>OR(ISBLANK('5- Why'!$I$44),ISBLANK('5- Why'!$I$46))</f>
        <v>1</v>
      </c>
      <c r="E54">
        <f t="shared" si="2"/>
        <v>0</v>
      </c>
    </row>
    <row r="55" spans="2:6" x14ac:dyDescent="0.3">
      <c r="B55" t="s">
        <v>457</v>
      </c>
      <c r="C55" t="b">
        <f>OR(ISBLANK('5- Why'!$I$50),ISBLANK('5- Why'!$I$52))</f>
        <v>1</v>
      </c>
      <c r="E55">
        <f t="shared" si="2"/>
        <v>0</v>
      </c>
    </row>
    <row r="56" spans="2:6" x14ac:dyDescent="0.3">
      <c r="B56" t="s">
        <v>457</v>
      </c>
      <c r="C56" t="b">
        <f>OR(ISBLANK('5- Why'!$I$56),ISBLANK('5- Why'!$I$58))</f>
        <v>1</v>
      </c>
      <c r="E56">
        <f t="shared" si="2"/>
        <v>0</v>
      </c>
      <c r="F56">
        <f>SUM(E51:E56)</f>
        <v>0</v>
      </c>
    </row>
    <row r="58" spans="2:6" x14ac:dyDescent="0.3">
      <c r="B58" t="s">
        <v>458</v>
      </c>
      <c r="C58" t="b">
        <f>OR(ISBLANK('D4-D5'!$C$45),ISBLANK('D4-D5'!$R$45),ISBLANK('D4-D5'!$V$45))</f>
        <v>1</v>
      </c>
      <c r="E58">
        <f>IF(C58=FALSE,1.5,0)</f>
        <v>0</v>
      </c>
    </row>
    <row r="59" spans="2:6" x14ac:dyDescent="0.3">
      <c r="B59" t="s">
        <v>458</v>
      </c>
      <c r="C59" t="b">
        <f>OR(ISBLANK('D4-D5'!$C$47),ISBLANK('D4-D5'!$R$47),ISBLANK('D4-D5'!$V$47))</f>
        <v>1</v>
      </c>
      <c r="E59">
        <f t="shared" ref="E59:E61" si="3">IF(C59=FALSE,1.5,0)</f>
        <v>0</v>
      </c>
      <c r="F59">
        <f>SUM(E58:E59)</f>
        <v>0</v>
      </c>
    </row>
    <row r="60" spans="2:6" x14ac:dyDescent="0.3">
      <c r="B60" t="s">
        <v>459</v>
      </c>
      <c r="C60" t="b">
        <f>OR(ISBLANK('D4-D5'!$C$57),ISBLANK('D4-D5'!$R$57),ISBLANK('D4-D5'!$V$57))</f>
        <v>1</v>
      </c>
      <c r="E60">
        <f t="shared" si="3"/>
        <v>0</v>
      </c>
    </row>
    <row r="61" spans="2:6" x14ac:dyDescent="0.3">
      <c r="B61" t="s">
        <v>459</v>
      </c>
      <c r="C61" t="b">
        <f>OR(ISBLANK('D4-D5'!$C$59),ISBLANK('D4-D5'!$R$59),ISBLANK('D4-D5'!$V$59))</f>
        <v>1</v>
      </c>
      <c r="E61">
        <f t="shared" si="3"/>
        <v>0</v>
      </c>
      <c r="F61">
        <f>SUM(E60:E61)</f>
        <v>0</v>
      </c>
    </row>
    <row r="63" spans="2:6" x14ac:dyDescent="0.3">
      <c r="B63" t="s">
        <v>460</v>
      </c>
      <c r="C63" t="b">
        <f>OR(ISBLANK('D6-D8'!$C$13),ISBLANK('D6-D8'!$R$13),ISBLANK('D6-D8'!$U$13),ISBLANK('D6-D8'!$Z$13))</f>
        <v>1</v>
      </c>
      <c r="D63" t="b">
        <f>IF('D6-D8'!$AD$13=100,FALSE,TRUE)</f>
        <v>1</v>
      </c>
      <c r="E63">
        <f>IF(AND(C63=FALSE,D63=FALSE),4,0)</f>
        <v>0</v>
      </c>
      <c r="F63">
        <f>E63</f>
        <v>0</v>
      </c>
    </row>
    <row r="64" spans="2:6" x14ac:dyDescent="0.3">
      <c r="B64" t="s">
        <v>461</v>
      </c>
      <c r="C64" t="b">
        <f>OR(ISBLANK('D6-D8'!$C$23),ISBLANK('D6-D8'!$R$23),ISBLANK('D6-D8'!$U$23),ISBLANK('D6-D8'!$Z$23))</f>
        <v>1</v>
      </c>
      <c r="D64" t="b">
        <f>IF('D6-D8'!$AD$23=100,FALSE,TRUE)</f>
        <v>1</v>
      </c>
      <c r="E64">
        <f>IF(AND(C64=FALSE,D64=FALSE),4,0)</f>
        <v>0</v>
      </c>
      <c r="F64">
        <f t="shared" ref="F64:F65" si="4">E64</f>
        <v>0</v>
      </c>
    </row>
    <row r="65" spans="2:6" x14ac:dyDescent="0.3">
      <c r="B65" t="s">
        <v>462</v>
      </c>
      <c r="C65" t="b">
        <f>ISBLANK('D6-D8'!$C$35)</f>
        <v>1</v>
      </c>
      <c r="E65">
        <f t="shared" ref="E65" si="5">IF(C65=FALSE,2,0)</f>
        <v>0</v>
      </c>
      <c r="F65">
        <f t="shared" si="4"/>
        <v>0</v>
      </c>
    </row>
    <row r="67" spans="2:6" x14ac:dyDescent="0.3">
      <c r="B67" t="s">
        <v>463</v>
      </c>
      <c r="C67" t="b">
        <f>IF('D6-D8'!$AR$9=TRUE,FALSE,TRUE)</f>
        <v>1</v>
      </c>
      <c r="E67">
        <f>IF(C67=FALSE,1,0)</f>
        <v>0</v>
      </c>
    </row>
    <row r="68" spans="2:6" x14ac:dyDescent="0.3">
      <c r="B68" t="s">
        <v>463</v>
      </c>
      <c r="C68" t="b">
        <f>IF('D6-D8'!$AR$11=TRUE,FALSE,TRUE)</f>
        <v>1</v>
      </c>
      <c r="E68">
        <f>IF(C68=FALSE,1,0)</f>
        <v>0</v>
      </c>
      <c r="F68">
        <f>SUM(E67:E68)</f>
        <v>0</v>
      </c>
    </row>
    <row r="69" spans="2:6" x14ac:dyDescent="0.3">
      <c r="B69" t="s">
        <v>464</v>
      </c>
      <c r="C69" t="b">
        <f>OR(ISBLANK('D6-D8'!$C$42),ISBLANK('D6-D8'!$U$42),ISBLANK('D6-D8'!$Z$42))</f>
        <v>1</v>
      </c>
      <c r="E69">
        <f>IF(C69=FALSE,2,0)</f>
        <v>0</v>
      </c>
      <c r="F69">
        <f>E69</f>
        <v>0</v>
      </c>
    </row>
    <row r="70" spans="2:6" x14ac:dyDescent="0.3">
      <c r="B70" t="s">
        <v>465</v>
      </c>
      <c r="C70" t="b">
        <f>OR(ISBLANK('D6-D8'!$O$64),ISBLANK('D6-D8'!$S$64))</f>
        <v>1</v>
      </c>
      <c r="E70">
        <f>IF(C70=FALSE,3,0)</f>
        <v>0</v>
      </c>
      <c r="F70">
        <f>E70</f>
        <v>0</v>
      </c>
    </row>
    <row r="72" spans="2:6" x14ac:dyDescent="0.3">
      <c r="B72" s="190" t="s">
        <v>388</v>
      </c>
      <c r="C72" s="190" t="b">
        <f>IF('D6-D8'!$AR$16=TRUE,FALSE,TRUE)</f>
        <v>1</v>
      </c>
      <c r="D72" s="190"/>
      <c r="E72" s="190">
        <f>IF(C72=FALSE,1,0)</f>
        <v>0</v>
      </c>
      <c r="F72" s="190">
        <f>E72</f>
        <v>0</v>
      </c>
    </row>
    <row r="73" spans="2:6" x14ac:dyDescent="0.3">
      <c r="E73" s="191" t="s">
        <v>485</v>
      </c>
      <c r="F73">
        <f>SUM(F3:F72)</f>
        <v>0</v>
      </c>
    </row>
    <row r="74" spans="2:6" x14ac:dyDescent="0.3">
      <c r="E74" s="191" t="s">
        <v>480</v>
      </c>
      <c r="F74">
        <f>'Assessment 8D Report'!AA53+'Assessment 8D Report'!AA54+'Assessment 8D Report'!AA57+'Assessment 8D Report'!AA58+'Assessment 8D Report'!AA59+'Assessment 8D Report'!AA62+'Assessment 8D Report'!AA63+'Assessment 8D Report'!AA64+'Assessment 8D Report'!AA67</f>
        <v>0</v>
      </c>
    </row>
    <row r="75" spans="2:6" x14ac:dyDescent="0.3">
      <c r="E75" t="s">
        <v>481</v>
      </c>
      <c r="F75">
        <f>SUM(F73:F74)</f>
        <v>0</v>
      </c>
    </row>
    <row r="83" spans="2:2" x14ac:dyDescent="0.3">
      <c r="B83">
        <v>0</v>
      </c>
    </row>
    <row r="84" spans="2:2" x14ac:dyDescent="0.3">
      <c r="B84">
        <v>25</v>
      </c>
    </row>
    <row r="85" spans="2:2" x14ac:dyDescent="0.3">
      <c r="B85">
        <v>50</v>
      </c>
    </row>
    <row r="86" spans="2:2" x14ac:dyDescent="0.3">
      <c r="B86">
        <v>75</v>
      </c>
    </row>
    <row r="87" spans="2:2" x14ac:dyDescent="0.3">
      <c r="B87">
        <v>100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EFF1-43AE-4DCA-AF5B-24A2A7375239}">
  <sheetPr codeName="Tabelle2">
    <tabColor theme="7" tint="0.59999389629810485"/>
    <pageSetUpPr fitToPage="1"/>
  </sheetPr>
  <dimension ref="B1:AR78"/>
  <sheetViews>
    <sheetView showGridLines="0" zoomScale="110" zoomScaleNormal="110" zoomScaleSheetLayoutView="130" workbookViewId="0">
      <selection activeCell="AJ9" sqref="AJ9"/>
    </sheetView>
  </sheetViews>
  <sheetFormatPr baseColWidth="10" defaultColWidth="10.88671875" defaultRowHeight="14.4" x14ac:dyDescent="0.3"/>
  <cols>
    <col min="2" max="14" width="3.33203125" style="7" customWidth="1"/>
    <col min="15" max="15" width="6.44140625" style="7" customWidth="1"/>
    <col min="16" max="33" width="3.33203125" style="7" customWidth="1"/>
    <col min="43" max="43" width="11.5546875" customWidth="1"/>
    <col min="44" max="44" width="11.5546875" style="72" hidden="1" customWidth="1"/>
    <col min="45" max="45" width="11.5546875" customWidth="1"/>
  </cols>
  <sheetData>
    <row r="1" spans="2:44" ht="12" customHeight="1" x14ac:dyDescent="0.3">
      <c r="B1" s="333" t="str">
        <f>HLOOKUP(Language!$B$2,Language!$C$12:$H$656,2)</f>
        <v>8D- Report</v>
      </c>
      <c r="C1" s="334"/>
      <c r="D1" s="334"/>
      <c r="E1" s="334"/>
      <c r="F1" s="334"/>
      <c r="G1" s="334"/>
      <c r="H1" s="334"/>
      <c r="I1" s="334"/>
      <c r="J1" s="334"/>
      <c r="K1" s="334"/>
      <c r="L1" s="334"/>
      <c r="M1" s="334"/>
      <c r="N1" s="334"/>
      <c r="O1" s="334"/>
      <c r="P1" s="334"/>
      <c r="Q1" s="334"/>
      <c r="R1" s="334"/>
      <c r="S1" s="334"/>
      <c r="T1" s="334"/>
      <c r="U1" s="334"/>
      <c r="V1" s="334"/>
      <c r="W1" s="334"/>
      <c r="X1" s="334"/>
      <c r="Y1" s="334"/>
      <c r="Z1" s="268" t="e" vm="1">
        <v>#VALUE!</v>
      </c>
      <c r="AA1" s="269"/>
      <c r="AB1" s="269"/>
      <c r="AC1" s="269"/>
      <c r="AD1" s="269"/>
      <c r="AE1" s="269"/>
      <c r="AF1" s="269"/>
      <c r="AG1" s="270"/>
    </row>
    <row r="2" spans="2:44" ht="12" customHeight="1" x14ac:dyDescent="0.3">
      <c r="B2" s="335"/>
      <c r="C2" s="336"/>
      <c r="D2" s="336"/>
      <c r="E2" s="336"/>
      <c r="F2" s="336"/>
      <c r="G2" s="336"/>
      <c r="H2" s="336"/>
      <c r="I2" s="336"/>
      <c r="J2" s="336"/>
      <c r="K2" s="336"/>
      <c r="L2" s="336"/>
      <c r="M2" s="336"/>
      <c r="N2" s="336"/>
      <c r="O2" s="336"/>
      <c r="P2" s="336"/>
      <c r="Q2" s="336"/>
      <c r="R2" s="336"/>
      <c r="S2" s="336"/>
      <c r="T2" s="336"/>
      <c r="U2" s="336"/>
      <c r="V2" s="336"/>
      <c r="W2" s="336"/>
      <c r="X2" s="336"/>
      <c r="Y2" s="336"/>
      <c r="Z2" s="271"/>
      <c r="AA2" s="272"/>
      <c r="AB2" s="272"/>
      <c r="AC2" s="272"/>
      <c r="AD2" s="272"/>
      <c r="AE2" s="272"/>
      <c r="AF2" s="272"/>
      <c r="AG2" s="273"/>
      <c r="AI2" s="362" t="str">
        <f>HLOOKUP(Language!$B$2,Language!$C$12:$H$656,3)</f>
        <v>Fields or text marked in red are required</v>
      </c>
      <c r="AJ2" s="363"/>
    </row>
    <row r="3" spans="2:44" ht="31.05" customHeight="1" x14ac:dyDescent="0.3">
      <c r="B3" s="337" t="str">
        <f>HLOOKUP(Language!$B$2,Language!$C$12:$H$656,8)</f>
        <v>Contact Person (Customer):</v>
      </c>
      <c r="C3" s="338"/>
      <c r="D3" s="338"/>
      <c r="E3" s="338"/>
      <c r="F3" s="339"/>
      <c r="G3" s="338" t="str">
        <f>IF('D1-D3'!$G$3="","",'D1-D3'!$G$3)</f>
        <v/>
      </c>
      <c r="H3" s="338"/>
      <c r="I3" s="338"/>
      <c r="J3" s="338"/>
      <c r="K3" s="338"/>
      <c r="L3" s="338"/>
      <c r="M3" s="338"/>
      <c r="N3" s="338"/>
      <c r="O3" s="338"/>
      <c r="P3" s="338"/>
      <c r="Q3" s="338"/>
      <c r="R3" s="338"/>
      <c r="S3" s="338"/>
      <c r="T3" s="349" t="str">
        <f>HLOOKUP(Language!$B$2,Language!$C$12:$H$656,5)</f>
        <v>8D started on:</v>
      </c>
      <c r="U3" s="338"/>
      <c r="V3" s="339"/>
      <c r="W3" s="411" t="str">
        <f>IF('D1-D3'!$W$3="","",'D1-D3'!$W$3)</f>
        <v/>
      </c>
      <c r="X3" s="411"/>
      <c r="Y3" s="412"/>
      <c r="Z3" s="271"/>
      <c r="AA3" s="272"/>
      <c r="AB3" s="272"/>
      <c r="AC3" s="272"/>
      <c r="AD3" s="272"/>
      <c r="AE3" s="272"/>
      <c r="AF3" s="272"/>
      <c r="AG3" s="273"/>
      <c r="AI3" s="364"/>
      <c r="AJ3" s="365"/>
    </row>
    <row r="4" spans="2:44" ht="12" customHeight="1" x14ac:dyDescent="0.3">
      <c r="B4" s="340" t="str">
        <f>HLOOKUP(Language!$B$2,Language!$C$12:$H$656,7)</f>
        <v>Customer:</v>
      </c>
      <c r="C4" s="311"/>
      <c r="D4" s="311"/>
      <c r="E4" s="311"/>
      <c r="F4" s="312"/>
      <c r="G4" s="395" t="str">
        <f>IF('D1-D3'!$G$4="","",'D1-D3'!$G$4)</f>
        <v/>
      </c>
      <c r="H4" s="396"/>
      <c r="I4" s="396"/>
      <c r="J4" s="396"/>
      <c r="K4" s="396"/>
      <c r="L4" s="397"/>
      <c r="M4" s="310" t="str">
        <f>HLOOKUP(Language!$B$2,Language!$C$12:$H$656,15)</f>
        <v>Supplier:</v>
      </c>
      <c r="N4" s="311"/>
      <c r="O4" s="311"/>
      <c r="P4" s="311"/>
      <c r="Q4" s="311"/>
      <c r="R4" s="311"/>
      <c r="S4" s="312"/>
      <c r="T4" s="395" t="str">
        <f>IF('D1-D3'!$T$4="","",'D1-D3'!$T$4)</f>
        <v/>
      </c>
      <c r="U4" s="396"/>
      <c r="V4" s="396"/>
      <c r="W4" s="396"/>
      <c r="X4" s="396"/>
      <c r="Y4" s="415"/>
      <c r="Z4" s="250"/>
      <c r="AA4" s="274" t="str">
        <f>HLOOKUP(Language!$B$2,Language!$C$12:$H$656,6)</f>
        <v>ELS:840 01 04
EOT:4 1021 03-02T
PEL:100 02 03</v>
      </c>
      <c r="AB4" s="274"/>
      <c r="AC4" s="274"/>
      <c r="AD4" s="274"/>
      <c r="AE4" s="276" t="str">
        <f>'D1-D3'!AE4</f>
        <v>Rev.07</v>
      </c>
      <c r="AF4" s="276"/>
      <c r="AG4" s="251"/>
    </row>
    <row r="5" spans="2:44" ht="21" customHeight="1" thickBot="1" x14ac:dyDescent="0.35">
      <c r="B5" s="341" t="str">
        <f>HLOOKUP(Language!$B$2,Language!$C$12:$H$656,9)</f>
        <v>Complaint number (Customer):</v>
      </c>
      <c r="C5" s="342"/>
      <c r="D5" s="342"/>
      <c r="E5" s="342"/>
      <c r="F5" s="343"/>
      <c r="G5" s="405" t="str">
        <f>IF('D1-D3'!$G$5="","",'D1-D3'!$G$5)</f>
        <v/>
      </c>
      <c r="H5" s="406"/>
      <c r="I5" s="406"/>
      <c r="J5" s="406"/>
      <c r="K5" s="406"/>
      <c r="L5" s="416"/>
      <c r="M5" s="324" t="str">
        <f>HLOOKUP(Language!$B$2,Language!$C$12:$H$656,14)</f>
        <v>Complaint number (Supplier):</v>
      </c>
      <c r="N5" s="325"/>
      <c r="O5" s="325"/>
      <c r="P5" s="325"/>
      <c r="Q5" s="325"/>
      <c r="R5" s="325"/>
      <c r="S5" s="326"/>
      <c r="T5" s="405" t="str">
        <f>IF('D1-D3'!$T$5="","",'D1-D3'!$T$5)</f>
        <v/>
      </c>
      <c r="U5" s="406"/>
      <c r="V5" s="406"/>
      <c r="W5" s="406"/>
      <c r="X5" s="406"/>
      <c r="Y5" s="407"/>
      <c r="Z5" s="249"/>
      <c r="AA5" s="275"/>
      <c r="AB5" s="275"/>
      <c r="AC5" s="275"/>
      <c r="AD5" s="275"/>
      <c r="AE5" s="277"/>
      <c r="AF5" s="277"/>
      <c r="AG5" s="97"/>
    </row>
    <row r="6" spans="2:44" ht="12" customHeight="1" x14ac:dyDescent="0.3">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c r="AI6" s="355" t="str">
        <f>HLOOKUP(Language!$B$2,Language!$C$12:$H$656,17)</f>
        <v>If additional space is required for the extension of the 8D- report</v>
      </c>
      <c r="AJ6" s="356"/>
      <c r="AK6" s="357"/>
    </row>
    <row r="7" spans="2:44" ht="12" customHeight="1" x14ac:dyDescent="0.3">
      <c r="B7" s="4"/>
      <c r="C7" s="305" t="str">
        <f>HLOOKUP(Language!$B$2,Language!$C$12:$H$656,10)</f>
        <v>Material name:</v>
      </c>
      <c r="D7" s="305"/>
      <c r="E7" s="305"/>
      <c r="F7" s="305"/>
      <c r="G7" s="305"/>
      <c r="H7" s="404" t="str">
        <f>IF('D1-D3'!$H$7="","",'D1-D3'!$H$7)</f>
        <v/>
      </c>
      <c r="I7" s="404"/>
      <c r="J7" s="404"/>
      <c r="K7" s="404"/>
      <c r="L7" s="404"/>
      <c r="M7" s="404"/>
      <c r="N7" s="404"/>
      <c r="O7" s="404"/>
      <c r="P7" s="404"/>
      <c r="Q7" s="404"/>
      <c r="R7" s="305" t="str">
        <f>HLOOKUP(Language!$B$2,Language!$C$12:$H$656,12)</f>
        <v>Drawing no.</v>
      </c>
      <c r="S7" s="305"/>
      <c r="T7" s="305"/>
      <c r="U7" s="305"/>
      <c r="V7" s="305"/>
      <c r="W7" s="404" t="str">
        <f>IF('D1-D3'!$W$7="","",'D1-D3'!$W$7)</f>
        <v/>
      </c>
      <c r="X7" s="404"/>
      <c r="Y7" s="404"/>
      <c r="Z7" s="404"/>
      <c r="AA7" s="404"/>
      <c r="AB7" s="404"/>
      <c r="AC7" s="404"/>
      <c r="AD7" s="404"/>
      <c r="AE7" s="404"/>
      <c r="AF7" s="404"/>
      <c r="AG7" s="5"/>
      <c r="AI7" s="358"/>
      <c r="AJ7" s="359"/>
      <c r="AK7" s="360"/>
    </row>
    <row r="8" spans="2:44" ht="12" customHeight="1" x14ac:dyDescent="0.3">
      <c r="B8" s="4"/>
      <c r="C8" s="305" t="str">
        <f>HLOOKUP(Language!$B$2,Language!$C$12:$H$656,11)</f>
        <v>Material number:</v>
      </c>
      <c r="D8" s="305"/>
      <c r="E8" s="305"/>
      <c r="F8" s="305"/>
      <c r="G8" s="305"/>
      <c r="H8" s="404" t="str">
        <f>IF('D1-D3'!$H$8="","",'D1-D3'!$H$8)</f>
        <v/>
      </c>
      <c r="I8" s="404"/>
      <c r="J8" s="404"/>
      <c r="K8" s="404"/>
      <c r="L8" s="404"/>
      <c r="M8" s="404"/>
      <c r="N8" s="404"/>
      <c r="O8" s="404"/>
      <c r="P8" s="404"/>
      <c r="Q8" s="404"/>
      <c r="R8" s="305" t="str">
        <f>HLOOKUP(Language!$B$2,Language!$C$12:$H$656,13)</f>
        <v>Drawing revision</v>
      </c>
      <c r="S8" s="305"/>
      <c r="T8" s="305"/>
      <c r="U8" s="305"/>
      <c r="V8" s="305"/>
      <c r="W8" s="404" t="str">
        <f>IF('D1-D3'!$W$8="","",'D1-D3'!$W$8)</f>
        <v/>
      </c>
      <c r="X8" s="404"/>
      <c r="Y8" s="404"/>
      <c r="Z8" s="404"/>
      <c r="AA8" s="404"/>
      <c r="AB8" s="404"/>
      <c r="AC8" s="404"/>
      <c r="AD8" s="404"/>
      <c r="AE8" s="404"/>
      <c r="AF8" s="404"/>
      <c r="AG8" s="5"/>
      <c r="AI8" s="358"/>
      <c r="AJ8" s="359"/>
      <c r="AK8" s="360"/>
      <c r="AR8" s="73"/>
    </row>
    <row r="9" spans="2:44"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c r="AI9" s="136" t="s">
        <v>200</v>
      </c>
      <c r="AJ9" s="138" t="s">
        <v>201</v>
      </c>
      <c r="AK9" s="137" t="s">
        <v>47</v>
      </c>
      <c r="AR9" s="75" t="b">
        <v>0</v>
      </c>
    </row>
    <row r="10" spans="2:44" ht="15" customHeight="1" thickBot="1" x14ac:dyDescent="0.35">
      <c r="B10" s="398" t="str">
        <f>HLOOKUP(Language!$B$2,Language!$C$12:$H$656,75)</f>
        <v>D4 - Root cause analysis</v>
      </c>
      <c r="C10" s="399"/>
      <c r="D10" s="399"/>
      <c r="E10" s="399"/>
      <c r="F10" s="399"/>
      <c r="G10" s="399"/>
      <c r="H10" s="399"/>
      <c r="I10" s="399"/>
      <c r="J10" s="399"/>
      <c r="K10" s="399"/>
      <c r="L10" s="399"/>
      <c r="M10" s="399"/>
      <c r="N10" s="399"/>
      <c r="O10" s="399"/>
      <c r="P10" s="399"/>
      <c r="Q10" s="399"/>
      <c r="R10" s="399"/>
      <c r="S10" s="399"/>
      <c r="T10" s="399"/>
      <c r="U10" s="399"/>
      <c r="V10" s="399"/>
      <c r="W10" s="399"/>
      <c r="X10" s="399"/>
      <c r="Y10" s="399"/>
      <c r="Z10" s="399"/>
      <c r="AA10" s="399"/>
      <c r="AB10" s="399"/>
      <c r="AC10" s="399"/>
      <c r="AD10" s="399"/>
      <c r="AE10" s="399"/>
      <c r="AF10" s="399"/>
      <c r="AG10" s="400"/>
      <c r="AR10" s="75" t="b">
        <f>AND($AR$9=FALSE,$AR$12=FALSE)</f>
        <v>1</v>
      </c>
    </row>
    <row r="11" spans="2:44" ht="12" customHeight="1" thickBot="1" x14ac:dyDescent="0.35">
      <c r="B11" s="413" t="str">
        <f>HLOOKUP(Language!$B$2,Language!$C$12:$H$656,76)</f>
        <v>The Ishikawa and the 5-Why method help with error analysis.</v>
      </c>
      <c r="C11" s="414"/>
      <c r="D11" s="414"/>
      <c r="E11" s="414"/>
      <c r="F11" s="414"/>
      <c r="G11" s="414"/>
      <c r="H11" s="414"/>
      <c r="I11" s="414"/>
      <c r="J11" s="414"/>
      <c r="K11" s="414"/>
      <c r="L11" s="414"/>
      <c r="M11" s="414"/>
      <c r="N11" s="414"/>
      <c r="O11" s="414"/>
      <c r="P11" s="414"/>
      <c r="Q11" s="401" t="s">
        <v>129</v>
      </c>
      <c r="R11" s="401"/>
      <c r="S11" s="401"/>
      <c r="T11" s="401"/>
      <c r="U11" s="402" t="s">
        <v>128</v>
      </c>
      <c r="V11" s="402"/>
      <c r="W11" s="402"/>
      <c r="X11" s="98"/>
      <c r="Y11" s="98"/>
      <c r="Z11" s="98"/>
      <c r="AA11" s="98"/>
      <c r="AB11" s="98"/>
      <c r="AC11" s="98"/>
      <c r="AD11" s="98"/>
      <c r="AE11" s="98"/>
      <c r="AF11" s="98"/>
      <c r="AG11" s="99"/>
      <c r="AI11" s="278" t="str">
        <f>HLOOKUP(Language!$B$2,Language!$C$12:$H$656,4)</f>
        <v>Select your language:</v>
      </c>
      <c r="AJ11" s="279"/>
      <c r="AK11" s="280"/>
      <c r="AR11" s="75" t="b">
        <f>AND($AR$9=TRUE,$AR$12=TRUE)</f>
        <v>0</v>
      </c>
    </row>
    <row r="12" spans="2:44" ht="12" customHeight="1" thickBot="1" x14ac:dyDescent="0.35">
      <c r="B12" s="4"/>
      <c r="C12" s="6"/>
      <c r="D12" s="6"/>
      <c r="G12" s="6"/>
      <c r="H12" s="6"/>
      <c r="J12" s="6"/>
      <c r="M12" s="6"/>
      <c r="N12" s="6"/>
      <c r="O12" s="12"/>
      <c r="P12" s="12"/>
      <c r="Q12" s="12"/>
      <c r="R12" s="6"/>
      <c r="T12" s="6"/>
      <c r="U12" s="12"/>
      <c r="V12" s="12"/>
      <c r="W12" s="12"/>
      <c r="X12" s="12"/>
      <c r="Y12" s="6"/>
      <c r="Z12" s="6"/>
      <c r="AA12" s="6"/>
      <c r="AB12" s="6"/>
      <c r="AC12" s="6"/>
      <c r="AD12" s="6"/>
      <c r="AE12" s="6"/>
      <c r="AF12" s="6"/>
      <c r="AG12" s="5"/>
      <c r="AI12" s="281"/>
      <c r="AJ12" s="282"/>
      <c r="AK12" s="283"/>
      <c r="AR12" s="75" t="b">
        <v>0</v>
      </c>
    </row>
    <row r="13" spans="2:44" ht="12" customHeight="1" x14ac:dyDescent="0.3">
      <c r="B13" s="4"/>
      <c r="C13" s="307" t="str">
        <f>HLOOKUP(Language!$B$2,Language!$C$12:$H$656,77)</f>
        <v>4.1 Root cause for occurrence</v>
      </c>
      <c r="D13" s="307"/>
      <c r="E13" s="307"/>
      <c r="F13" s="307"/>
      <c r="G13" s="307"/>
      <c r="H13" s="307"/>
      <c r="I13" s="307"/>
      <c r="J13" s="307"/>
      <c r="K13" s="307"/>
      <c r="L13" s="307"/>
      <c r="M13" s="307"/>
      <c r="N13" s="307"/>
      <c r="O13" s="307"/>
      <c r="P13" s="307"/>
      <c r="Q13" s="307"/>
      <c r="R13" s="307"/>
      <c r="S13" s="307"/>
      <c r="T13" s="403"/>
      <c r="U13" s="383"/>
      <c r="V13" s="383"/>
      <c r="W13" s="383"/>
      <c r="X13" s="383"/>
      <c r="Y13" s="383"/>
      <c r="Z13" s="383"/>
      <c r="AA13" s="383"/>
      <c r="AB13" s="383"/>
      <c r="AC13" s="383"/>
      <c r="AD13" s="383"/>
      <c r="AE13" s="383"/>
      <c r="AF13" s="384"/>
      <c r="AG13" s="5"/>
      <c r="AR13" s="77"/>
    </row>
    <row r="14" spans="2:44" ht="30" customHeight="1" x14ac:dyDescent="0.3">
      <c r="B14" s="31"/>
      <c r="C14" s="386"/>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8"/>
      <c r="AG14" s="32"/>
      <c r="AR14" s="77"/>
    </row>
    <row r="15" spans="2:44" ht="12" customHeight="1" x14ac:dyDescent="0.3">
      <c r="B15" s="4"/>
      <c r="C15" s="389"/>
      <c r="D15" s="390"/>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1"/>
      <c r="AG15" s="5"/>
      <c r="AR15" s="78" t="b">
        <v>0</v>
      </c>
    </row>
    <row r="16" spans="2:44" ht="12" customHeight="1" x14ac:dyDescent="0.3">
      <c r="B16" s="4"/>
      <c r="C16" s="392"/>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4"/>
      <c r="AG16" s="5"/>
      <c r="AR16" s="78" t="b">
        <f>AND($AR$15=FALSE,$AR$18=FALSE)</f>
        <v>1</v>
      </c>
    </row>
    <row r="17" spans="2:44" ht="6" customHeight="1" x14ac:dyDescent="0.3">
      <c r="B17" s="39"/>
      <c r="C17" s="41"/>
      <c r="D17" s="41"/>
      <c r="E17" s="41"/>
      <c r="F17" s="41"/>
      <c r="G17" s="41"/>
      <c r="H17" s="41"/>
      <c r="I17" s="41"/>
      <c r="J17" s="41"/>
      <c r="K17" s="41"/>
      <c r="L17" s="41"/>
      <c r="M17" s="41"/>
      <c r="N17" s="41"/>
      <c r="O17" s="41"/>
      <c r="P17" s="41"/>
      <c r="Q17" s="41"/>
      <c r="R17" s="41"/>
      <c r="S17" s="8"/>
      <c r="T17" s="8"/>
      <c r="U17" s="8"/>
      <c r="V17" s="8"/>
      <c r="W17" s="8"/>
      <c r="X17" s="41"/>
      <c r="Y17" s="41"/>
      <c r="Z17" s="41"/>
      <c r="AA17" s="41"/>
      <c r="AB17" s="41"/>
      <c r="AC17" s="41"/>
      <c r="AD17" s="41"/>
      <c r="AE17" s="41"/>
      <c r="AF17" s="41"/>
      <c r="AG17" s="49"/>
      <c r="AR17" s="75" t="b">
        <f>AND($AR$15=TRUE,$AR$18=TRUE)</f>
        <v>0</v>
      </c>
    </row>
    <row r="18" spans="2:44" ht="12" customHeight="1" x14ac:dyDescent="0.3">
      <c r="B18" s="39"/>
      <c r="C18" s="37"/>
      <c r="D18" s="37"/>
      <c r="E18" s="40"/>
      <c r="F18" s="40"/>
      <c r="G18" s="385" t="str">
        <f>HLOOKUP(Language!$B$2,Language!$C$12:$H$656,78)</f>
        <v>Could the error be reproduced to the origin?</v>
      </c>
      <c r="H18" s="385"/>
      <c r="I18" s="385"/>
      <c r="J18" s="385"/>
      <c r="K18" s="385"/>
      <c r="L18" s="385"/>
      <c r="M18" s="385"/>
      <c r="N18" s="385"/>
      <c r="O18" s="385"/>
      <c r="P18" s="385"/>
      <c r="Q18" s="385"/>
      <c r="R18" s="385"/>
      <c r="S18" s="12"/>
      <c r="T18" s="12" t="str">
        <f>HLOOKUP(Language!$B$2,Language!$C$12:$H$656,79)</f>
        <v>Yes</v>
      </c>
      <c r="U18" s="12"/>
      <c r="V18" s="12"/>
      <c r="W18" s="12" t="str">
        <f>HLOOKUP(Language!$B$2,Language!$C$12:$H$656,80)</f>
        <v>No</v>
      </c>
      <c r="X18" s="37"/>
      <c r="Y18" s="37"/>
      <c r="AA18" s="37"/>
      <c r="AB18" s="37"/>
      <c r="AC18" s="37"/>
      <c r="AD18" s="37"/>
      <c r="AE18" s="37"/>
      <c r="AF18" s="37"/>
      <c r="AG18" s="49"/>
      <c r="AR18" s="78" t="b">
        <v>0</v>
      </c>
    </row>
    <row r="19" spans="2:44" ht="6" customHeight="1" x14ac:dyDescent="0.3">
      <c r="B19" s="39"/>
      <c r="C19" s="42"/>
      <c r="D19" s="42"/>
      <c r="E19" s="42"/>
      <c r="F19" s="42"/>
      <c r="G19" s="42"/>
      <c r="H19" s="42"/>
      <c r="I19" s="42"/>
      <c r="J19" s="42"/>
      <c r="K19" s="42"/>
      <c r="L19" s="42"/>
      <c r="M19" s="42"/>
      <c r="N19" s="42"/>
      <c r="O19" s="42"/>
      <c r="Q19" s="42"/>
      <c r="R19" s="42"/>
      <c r="T19" s="42"/>
      <c r="U19" s="42"/>
      <c r="W19" s="42"/>
      <c r="X19" s="42"/>
      <c r="Y19" s="42"/>
      <c r="Z19" s="42"/>
      <c r="AA19" s="42"/>
      <c r="AB19" s="42"/>
      <c r="AC19" s="42"/>
      <c r="AD19" s="42"/>
      <c r="AE19" s="42"/>
      <c r="AF19" s="42"/>
      <c r="AG19" s="49"/>
      <c r="AR19" s="77"/>
    </row>
    <row r="20" spans="2:44" ht="12" customHeight="1" x14ac:dyDescent="0.3">
      <c r="B20" s="4"/>
      <c r="C20" s="366" t="str">
        <f>HLOOKUP(Language!$B$2,Language!$C$12:$H$656,81)</f>
        <v>Reason if the error could not be reproduced:</v>
      </c>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8"/>
      <c r="AG20" s="5"/>
      <c r="AR20" s="78" t="b">
        <f>AND('D1-D3'!$AR$4=FALSE,'D1-D3'!$AR$5=FALSE)</f>
        <v>1</v>
      </c>
    </row>
    <row r="21" spans="2:44" ht="12" customHeight="1" x14ac:dyDescent="0.3">
      <c r="B21" s="4"/>
      <c r="C21" s="373"/>
      <c r="D21" s="374"/>
      <c r="E21" s="374"/>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5"/>
      <c r="AG21" s="5"/>
      <c r="AR21" s="78" t="b">
        <f>AND('D1-D3'!$AR$4=TRUE,'D1-D3'!$AR$5=TRUE)</f>
        <v>0</v>
      </c>
    </row>
    <row r="22" spans="2:44" ht="12" customHeight="1" x14ac:dyDescent="0.3">
      <c r="B22" s="4"/>
      <c r="C22" s="376"/>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8"/>
      <c r="AG22" s="5"/>
      <c r="AR22" s="73"/>
    </row>
    <row r="23" spans="2:44" ht="12" customHeight="1" x14ac:dyDescent="0.3">
      <c r="B23" s="4"/>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5"/>
    </row>
    <row r="24" spans="2:44" ht="12" customHeight="1" x14ac:dyDescent="0.3">
      <c r="B24" s="4"/>
      <c r="C24" s="307" t="str">
        <f>HLOOKUP(Language!$B$2,Language!$C$12:$H$656,82)</f>
        <v xml:space="preserve">4.2 Root cause for non-detection </v>
      </c>
      <c r="D24" s="307"/>
      <c r="E24" s="307"/>
      <c r="F24" s="307"/>
      <c r="G24" s="307"/>
      <c r="H24" s="307"/>
      <c r="I24" s="307"/>
      <c r="J24" s="307"/>
      <c r="K24" s="307"/>
      <c r="L24" s="307"/>
      <c r="M24" s="307"/>
      <c r="N24" s="307"/>
      <c r="O24" s="307"/>
      <c r="P24" s="307"/>
      <c r="Q24" s="307"/>
      <c r="R24" s="307"/>
      <c r="S24" s="307"/>
      <c r="T24" s="403"/>
      <c r="U24" s="383"/>
      <c r="V24" s="383"/>
      <c r="W24" s="383"/>
      <c r="X24" s="383"/>
      <c r="Y24" s="383"/>
      <c r="Z24" s="383"/>
      <c r="AA24" s="383"/>
      <c r="AB24" s="383"/>
      <c r="AC24" s="383"/>
      <c r="AD24" s="383"/>
      <c r="AE24" s="383"/>
      <c r="AF24" s="384"/>
      <c r="AG24" s="5"/>
    </row>
    <row r="25" spans="2:44" ht="30" customHeight="1" x14ac:dyDescent="0.3">
      <c r="B25" s="4"/>
      <c r="C25" s="386"/>
      <c r="D25" s="387"/>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8"/>
      <c r="AG25" s="5"/>
    </row>
    <row r="26" spans="2:44" ht="12" customHeight="1" x14ac:dyDescent="0.3">
      <c r="B26" s="31"/>
      <c r="C26" s="389"/>
      <c r="D26" s="390"/>
      <c r="E26" s="390"/>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1"/>
      <c r="AG26" s="32"/>
    </row>
    <row r="27" spans="2:44" ht="12" customHeight="1" x14ac:dyDescent="0.3">
      <c r="B27" s="4"/>
      <c r="C27" s="392"/>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4"/>
      <c r="AG27" s="5"/>
    </row>
    <row r="28" spans="2:44" ht="6" customHeight="1" x14ac:dyDescent="0.3">
      <c r="B28" s="39"/>
      <c r="C28" s="42"/>
      <c r="D28" s="42"/>
      <c r="E28" s="42"/>
      <c r="F28" s="42"/>
      <c r="G28" s="42"/>
      <c r="H28" s="42"/>
      <c r="I28" s="42"/>
      <c r="J28" s="42"/>
      <c r="K28" s="42"/>
      <c r="L28" s="42"/>
      <c r="M28" s="62"/>
      <c r="N28" s="42"/>
      <c r="O28" s="42"/>
      <c r="P28" s="42"/>
      <c r="Q28" s="42"/>
      <c r="R28" s="42"/>
      <c r="S28" s="42"/>
      <c r="T28" s="15"/>
      <c r="U28" s="15"/>
      <c r="V28" s="15"/>
      <c r="W28" s="12"/>
      <c r="X28" s="15"/>
      <c r="Y28" s="42"/>
      <c r="Z28" s="42"/>
      <c r="AA28" s="42"/>
      <c r="AB28" s="42"/>
      <c r="AC28" s="42"/>
      <c r="AD28" s="42"/>
      <c r="AE28" s="42"/>
      <c r="AF28" s="42"/>
      <c r="AG28" s="49"/>
    </row>
    <row r="29" spans="2:44" ht="12" customHeight="1" x14ac:dyDescent="0.3">
      <c r="B29" s="39"/>
      <c r="C29" s="43"/>
      <c r="D29" s="43"/>
      <c r="E29" s="43"/>
      <c r="F29" s="48"/>
      <c r="G29" s="385" t="str">
        <f>HLOOKUP(Language!$B$2,Language!$C$12:$H$656,83)</f>
        <v>Could the non-detection error be reproduced?</v>
      </c>
      <c r="H29" s="385"/>
      <c r="I29" s="385"/>
      <c r="J29" s="385"/>
      <c r="K29" s="385"/>
      <c r="L29" s="385"/>
      <c r="M29" s="385"/>
      <c r="N29" s="385"/>
      <c r="O29" s="385"/>
      <c r="P29" s="385"/>
      <c r="Q29" s="385"/>
      <c r="R29" s="385"/>
      <c r="S29" s="385"/>
      <c r="T29" s="12"/>
      <c r="U29" s="12" t="str">
        <f>HLOOKUP(Language!$B$2,Language!$C$12:$H$656,79)</f>
        <v>Yes</v>
      </c>
      <c r="V29" s="12"/>
      <c r="W29" s="12"/>
      <c r="X29" s="12" t="str">
        <f>HLOOKUP(Language!$B$2,Language!$C$12:$H$656,80)</f>
        <v>No</v>
      </c>
      <c r="Y29" s="37"/>
      <c r="AA29" s="43"/>
      <c r="AB29" s="43"/>
      <c r="AC29" s="43"/>
      <c r="AD29" s="43"/>
      <c r="AE29" s="43"/>
      <c r="AF29" s="43"/>
      <c r="AG29" s="49"/>
    </row>
    <row r="30" spans="2:44" ht="6" customHeight="1" x14ac:dyDescent="0.3">
      <c r="B30" s="39"/>
      <c r="C30" s="43"/>
      <c r="D30" s="43"/>
      <c r="E30" s="43"/>
      <c r="F30" s="43"/>
      <c r="G30" s="43"/>
      <c r="H30" s="43"/>
      <c r="I30" s="43"/>
      <c r="J30" s="43"/>
      <c r="K30" s="43"/>
      <c r="L30" s="43"/>
      <c r="M30" s="62"/>
      <c r="N30" s="43"/>
      <c r="O30" s="43"/>
      <c r="P30" s="43"/>
      <c r="R30" s="43"/>
      <c r="S30" s="43"/>
      <c r="U30" s="43"/>
      <c r="V30" s="43"/>
      <c r="X30" s="43"/>
      <c r="Y30" s="43"/>
      <c r="Z30" s="43"/>
      <c r="AA30" s="43"/>
      <c r="AB30" s="43"/>
      <c r="AC30" s="43"/>
      <c r="AD30" s="43"/>
      <c r="AE30" s="43"/>
      <c r="AF30" s="43"/>
      <c r="AG30" s="49"/>
    </row>
    <row r="31" spans="2:44" ht="12" customHeight="1" x14ac:dyDescent="0.3">
      <c r="B31" s="4"/>
      <c r="C31" s="366" t="str">
        <f>HLOOKUP(Language!$B$2,Language!$C$12:$H$656,81)</f>
        <v>Reason if the error could not be reproduced:</v>
      </c>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8"/>
      <c r="AG31" s="5"/>
    </row>
    <row r="32" spans="2:44" ht="30" customHeight="1" x14ac:dyDescent="0.3">
      <c r="B32" s="4"/>
      <c r="C32" s="376"/>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8"/>
      <c r="AG32" s="5"/>
    </row>
    <row r="33" spans="2:33" ht="12" customHeight="1" x14ac:dyDescent="0.3">
      <c r="B33" s="4"/>
      <c r="C33" s="408"/>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10"/>
      <c r="AG33" s="5"/>
    </row>
    <row r="34" spans="2:33" ht="6" customHeight="1" x14ac:dyDescent="0.3">
      <c r="B34" s="4"/>
      <c r="C34" s="30"/>
      <c r="D34" s="30"/>
      <c r="E34" s="30"/>
      <c r="F34" s="30"/>
      <c r="G34" s="30"/>
      <c r="H34" s="30"/>
      <c r="Y34" s="15"/>
      <c r="Z34" s="15"/>
      <c r="AA34" s="15"/>
      <c r="AB34" s="15"/>
      <c r="AC34" s="15"/>
      <c r="AD34" s="15"/>
      <c r="AE34" s="15"/>
      <c r="AF34" s="15"/>
      <c r="AG34" s="5"/>
    </row>
    <row r="35" spans="2:33" ht="12" customHeight="1" x14ac:dyDescent="0.3">
      <c r="B35" s="39"/>
      <c r="C35" s="43"/>
      <c r="D35" s="43"/>
      <c r="E35" s="43"/>
      <c r="F35" s="43"/>
      <c r="G35" s="43"/>
      <c r="H35" s="43"/>
      <c r="I35" s="40"/>
      <c r="J35" s="38" t="str">
        <f>HLOOKUP(Language!$B$2,Language!$C$12:$H$656,86)</f>
        <v>Claim:</v>
      </c>
      <c r="K35" s="40"/>
      <c r="L35" s="40"/>
      <c r="M35" s="38"/>
      <c r="N35" s="6"/>
      <c r="O35" s="361" t="str">
        <f>HLOOKUP(Language!$B$2,Language!$C$12:$H$656,84)</f>
        <v>Accepted</v>
      </c>
      <c r="P35" s="361"/>
      <c r="Q35" s="361"/>
      <c r="R35" s="361"/>
      <c r="T35" s="6"/>
      <c r="U35" s="361" t="str">
        <f>HLOOKUP(Language!$B$2,Language!$C$12:$H$656,85)</f>
        <v>NOT accepted</v>
      </c>
      <c r="V35" s="361"/>
      <c r="W35" s="361"/>
      <c r="X35" s="361"/>
      <c r="Y35" s="43"/>
      <c r="Z35" s="43"/>
      <c r="AA35" s="43"/>
      <c r="AB35" s="43"/>
      <c r="AC35" s="43"/>
      <c r="AD35" s="43"/>
      <c r="AE35" s="43"/>
      <c r="AF35" s="43"/>
      <c r="AG35" s="49"/>
    </row>
    <row r="36" spans="2:33" ht="6" customHeight="1" x14ac:dyDescent="0.3">
      <c r="B36" s="39"/>
      <c r="C36" s="43"/>
      <c r="D36" s="43"/>
      <c r="E36" s="43"/>
      <c r="F36" s="43"/>
      <c r="G36" s="43"/>
      <c r="H36" s="43"/>
      <c r="I36" s="43"/>
      <c r="J36" s="43"/>
      <c r="K36" s="43"/>
      <c r="L36" s="43"/>
      <c r="M36" s="61"/>
      <c r="O36" s="63"/>
      <c r="P36" s="43"/>
      <c r="Q36" s="43"/>
      <c r="R36" s="43"/>
      <c r="S36" s="43"/>
      <c r="U36" s="43"/>
      <c r="V36" s="43"/>
      <c r="W36" s="61"/>
      <c r="X36" s="43"/>
      <c r="Y36" s="43"/>
      <c r="Z36" s="43"/>
      <c r="AA36" s="43"/>
      <c r="AB36" s="43"/>
      <c r="AC36" s="43"/>
      <c r="AD36" s="43"/>
      <c r="AE36" s="43"/>
      <c r="AF36" s="43"/>
      <c r="AG36" s="49"/>
    </row>
    <row r="37" spans="2:33" ht="12" customHeight="1" x14ac:dyDescent="0.3">
      <c r="B37" s="4"/>
      <c r="C37" s="366" t="str">
        <f>HLOOKUP(Language!$B$2,Language!$C$12:$H$656,87)</f>
        <v>if "Not accepted", reason:</v>
      </c>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8"/>
      <c r="AG37" s="5"/>
    </row>
    <row r="38" spans="2:33" ht="49.95" customHeight="1" x14ac:dyDescent="0.3">
      <c r="B38" s="4"/>
      <c r="C38" s="373"/>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5"/>
      <c r="AG38" s="5"/>
    </row>
    <row r="39" spans="2:33" ht="12" customHeight="1" x14ac:dyDescent="0.3">
      <c r="B39" s="4"/>
      <c r="C39" s="373"/>
      <c r="D39" s="374"/>
      <c r="E39" s="374"/>
      <c r="F39" s="374"/>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5"/>
      <c r="AG39" s="5"/>
    </row>
    <row r="40" spans="2:33" ht="12" customHeight="1" x14ac:dyDescent="0.3">
      <c r="B40" s="4"/>
      <c r="C40" s="376"/>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8"/>
      <c r="AG40" s="5"/>
    </row>
    <row r="41" spans="2:33" ht="12" customHeight="1" thickBot="1" x14ac:dyDescent="0.35">
      <c r="B41" s="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5"/>
    </row>
    <row r="42" spans="2:33" ht="15" customHeight="1" thickBot="1" x14ac:dyDescent="0.35">
      <c r="B42" s="302" t="str">
        <f>HLOOKUP(Language!$B$2,Language!$C$12:$H$656,93)</f>
        <v>D5 - Planed Corrective Actions</v>
      </c>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c r="AA42" s="303"/>
      <c r="AB42" s="303"/>
      <c r="AC42" s="303"/>
      <c r="AD42" s="303"/>
      <c r="AE42" s="303"/>
      <c r="AF42" s="303"/>
      <c r="AG42" s="304"/>
    </row>
    <row r="43" spans="2:33" ht="12" customHeight="1" x14ac:dyDescent="0.3">
      <c r="B43" s="4"/>
      <c r="C43" s="14"/>
      <c r="D43" s="14"/>
      <c r="E43" s="14"/>
      <c r="F43" s="14"/>
      <c r="G43" s="14"/>
      <c r="H43" s="14"/>
      <c r="I43" s="14"/>
      <c r="J43" s="14"/>
      <c r="K43" s="14"/>
      <c r="L43" s="14"/>
      <c r="M43" s="14"/>
      <c r="N43" s="14"/>
      <c r="O43" s="14"/>
      <c r="P43" s="14"/>
      <c r="Q43" s="14"/>
      <c r="R43" s="14"/>
      <c r="S43" s="14"/>
      <c r="T43" s="14"/>
      <c r="U43" s="34"/>
      <c r="V43" s="34"/>
      <c r="W43" s="34"/>
      <c r="X43" s="34"/>
      <c r="Y43" s="34"/>
      <c r="Z43" s="14"/>
      <c r="AA43" s="14"/>
      <c r="AB43" s="14"/>
      <c r="AC43" s="14"/>
      <c r="AD43" s="14"/>
      <c r="AE43" s="14"/>
      <c r="AF43" s="14"/>
      <c r="AG43" s="5"/>
    </row>
    <row r="44" spans="2:33" ht="12" customHeight="1" x14ac:dyDescent="0.3">
      <c r="B44" s="4"/>
      <c r="C44" s="307" t="str">
        <f>HLOOKUP(Language!$B$2,Language!$C$12:$H$656,94)</f>
        <v>5.1 Planed Actions for occurence</v>
      </c>
      <c r="D44" s="307"/>
      <c r="E44" s="307"/>
      <c r="F44" s="307"/>
      <c r="G44" s="307"/>
      <c r="H44" s="307"/>
      <c r="I44" s="307"/>
      <c r="J44" s="307"/>
      <c r="K44" s="307"/>
      <c r="L44" s="307"/>
      <c r="M44" s="307"/>
      <c r="N44" s="307"/>
      <c r="O44" s="307"/>
      <c r="P44" s="307"/>
      <c r="Q44" s="307"/>
      <c r="R44" s="417" t="str">
        <f>HLOOKUP(Language!$B$2,Language!$C$12:$H$656,96)</f>
        <v>Planned date</v>
      </c>
      <c r="S44" s="417"/>
      <c r="T44" s="417"/>
      <c r="U44" s="417"/>
      <c r="V44" s="417" t="str">
        <f>HLOOKUP(Language!$B$2,Language!$C$12:$H$656,97)</f>
        <v>Responsible</v>
      </c>
      <c r="W44" s="417"/>
      <c r="X44" s="417"/>
      <c r="Y44" s="417"/>
      <c r="Z44" s="417"/>
      <c r="AA44" s="417" t="str">
        <f>HLOOKUP(Language!$B$2,Language!$C$12:$H$656,70)</f>
        <v>Remarks</v>
      </c>
      <c r="AB44" s="417"/>
      <c r="AC44" s="417"/>
      <c r="AD44" s="417"/>
      <c r="AE44" s="417"/>
      <c r="AF44" s="417"/>
      <c r="AG44" s="5"/>
    </row>
    <row r="45" spans="2:33" ht="12" customHeight="1" x14ac:dyDescent="0.3">
      <c r="B45" s="4"/>
      <c r="C45" s="301"/>
      <c r="D45" s="301"/>
      <c r="E45" s="301"/>
      <c r="F45" s="301"/>
      <c r="G45" s="301"/>
      <c r="H45" s="301"/>
      <c r="I45" s="301"/>
      <c r="J45" s="301"/>
      <c r="K45" s="301"/>
      <c r="L45" s="301"/>
      <c r="M45" s="301"/>
      <c r="N45" s="301"/>
      <c r="O45" s="301"/>
      <c r="P45" s="301"/>
      <c r="Q45" s="301"/>
      <c r="R45" s="418"/>
      <c r="S45" s="418"/>
      <c r="T45" s="418"/>
      <c r="U45" s="418"/>
      <c r="V45" s="420"/>
      <c r="W45" s="420"/>
      <c r="X45" s="420"/>
      <c r="Y45" s="420"/>
      <c r="Z45" s="420"/>
      <c r="AA45" s="419"/>
      <c r="AB45" s="419"/>
      <c r="AC45" s="419"/>
      <c r="AD45" s="419"/>
      <c r="AE45" s="419"/>
      <c r="AF45" s="419"/>
      <c r="AG45" s="5"/>
    </row>
    <row r="46" spans="2:33" ht="12" customHeight="1" x14ac:dyDescent="0.3">
      <c r="B46" s="4"/>
      <c r="C46" s="301"/>
      <c r="D46" s="301"/>
      <c r="E46" s="301"/>
      <c r="F46" s="301"/>
      <c r="G46" s="301"/>
      <c r="H46" s="301"/>
      <c r="I46" s="301"/>
      <c r="J46" s="301"/>
      <c r="K46" s="301"/>
      <c r="L46" s="301"/>
      <c r="M46" s="301"/>
      <c r="N46" s="301"/>
      <c r="O46" s="301"/>
      <c r="P46" s="301"/>
      <c r="Q46" s="301"/>
      <c r="R46" s="418"/>
      <c r="S46" s="418"/>
      <c r="T46" s="418"/>
      <c r="U46" s="418"/>
      <c r="V46" s="420"/>
      <c r="W46" s="420"/>
      <c r="X46" s="420"/>
      <c r="Y46" s="420"/>
      <c r="Z46" s="420"/>
      <c r="AA46" s="419"/>
      <c r="AB46" s="419"/>
      <c r="AC46" s="419"/>
      <c r="AD46" s="419"/>
      <c r="AE46" s="419"/>
      <c r="AF46" s="419"/>
      <c r="AG46" s="5"/>
    </row>
    <row r="47" spans="2:33" ht="12" customHeight="1" x14ac:dyDescent="0.3">
      <c r="B47" s="4"/>
      <c r="C47" s="301"/>
      <c r="D47" s="301"/>
      <c r="E47" s="301"/>
      <c r="F47" s="301"/>
      <c r="G47" s="301"/>
      <c r="H47" s="301"/>
      <c r="I47" s="301"/>
      <c r="J47" s="301"/>
      <c r="K47" s="301"/>
      <c r="L47" s="301"/>
      <c r="M47" s="301"/>
      <c r="N47" s="301"/>
      <c r="O47" s="301"/>
      <c r="P47" s="301"/>
      <c r="Q47" s="301"/>
      <c r="R47" s="418"/>
      <c r="S47" s="418"/>
      <c r="T47" s="418"/>
      <c r="U47" s="418"/>
      <c r="V47" s="421"/>
      <c r="W47" s="421"/>
      <c r="X47" s="421"/>
      <c r="Y47" s="421"/>
      <c r="Z47" s="421"/>
      <c r="AA47" s="419"/>
      <c r="AB47" s="419"/>
      <c r="AC47" s="419"/>
      <c r="AD47" s="419"/>
      <c r="AE47" s="419"/>
      <c r="AF47" s="419"/>
      <c r="AG47" s="5"/>
    </row>
    <row r="48" spans="2:33" ht="12" customHeight="1" x14ac:dyDescent="0.3">
      <c r="B48" s="4"/>
      <c r="C48" s="301"/>
      <c r="D48" s="301"/>
      <c r="E48" s="301"/>
      <c r="F48" s="301"/>
      <c r="G48" s="301"/>
      <c r="H48" s="301"/>
      <c r="I48" s="301"/>
      <c r="J48" s="301"/>
      <c r="K48" s="301"/>
      <c r="L48" s="301"/>
      <c r="M48" s="301"/>
      <c r="N48" s="301"/>
      <c r="O48" s="301"/>
      <c r="P48" s="301"/>
      <c r="Q48" s="301"/>
      <c r="R48" s="418"/>
      <c r="S48" s="418"/>
      <c r="T48" s="418"/>
      <c r="U48" s="418"/>
      <c r="V48" s="421"/>
      <c r="W48" s="421"/>
      <c r="X48" s="421"/>
      <c r="Y48" s="421"/>
      <c r="Z48" s="421"/>
      <c r="AA48" s="419"/>
      <c r="AB48" s="419"/>
      <c r="AC48" s="419"/>
      <c r="AD48" s="419"/>
      <c r="AE48" s="419"/>
      <c r="AF48" s="419"/>
      <c r="AG48" s="5"/>
    </row>
    <row r="49" spans="2:33" ht="12" customHeight="1" x14ac:dyDescent="0.3">
      <c r="B49" s="4"/>
      <c r="C49" s="301"/>
      <c r="D49" s="301"/>
      <c r="E49" s="301"/>
      <c r="F49" s="301"/>
      <c r="G49" s="301"/>
      <c r="H49" s="301"/>
      <c r="I49" s="301"/>
      <c r="J49" s="301"/>
      <c r="K49" s="301"/>
      <c r="L49" s="301"/>
      <c r="M49" s="301"/>
      <c r="N49" s="301"/>
      <c r="O49" s="301"/>
      <c r="P49" s="301"/>
      <c r="Q49" s="301"/>
      <c r="R49" s="418"/>
      <c r="S49" s="418"/>
      <c r="T49" s="418"/>
      <c r="U49" s="418"/>
      <c r="V49" s="421"/>
      <c r="W49" s="421"/>
      <c r="X49" s="421"/>
      <c r="Y49" s="421"/>
      <c r="Z49" s="421"/>
      <c r="AA49" s="419"/>
      <c r="AB49" s="419"/>
      <c r="AC49" s="419"/>
      <c r="AD49" s="419"/>
      <c r="AE49" s="419"/>
      <c r="AF49" s="419"/>
      <c r="AG49" s="5"/>
    </row>
    <row r="50" spans="2:33" ht="12" customHeight="1" x14ac:dyDescent="0.3">
      <c r="B50" s="4"/>
      <c r="C50" s="301"/>
      <c r="D50" s="301"/>
      <c r="E50" s="301"/>
      <c r="F50" s="301"/>
      <c r="G50" s="301"/>
      <c r="H50" s="301"/>
      <c r="I50" s="301"/>
      <c r="J50" s="301"/>
      <c r="K50" s="301"/>
      <c r="L50" s="301"/>
      <c r="M50" s="301"/>
      <c r="N50" s="301"/>
      <c r="O50" s="301"/>
      <c r="P50" s="301"/>
      <c r="Q50" s="301"/>
      <c r="R50" s="418"/>
      <c r="S50" s="418"/>
      <c r="T50" s="418"/>
      <c r="U50" s="418"/>
      <c r="V50" s="421"/>
      <c r="W50" s="421"/>
      <c r="X50" s="421"/>
      <c r="Y50" s="421"/>
      <c r="Z50" s="421"/>
      <c r="AA50" s="419"/>
      <c r="AB50" s="419"/>
      <c r="AC50" s="419"/>
      <c r="AD50" s="419"/>
      <c r="AE50" s="419"/>
      <c r="AF50" s="419"/>
      <c r="AG50" s="5"/>
    </row>
    <row r="51" spans="2:33" ht="12" customHeight="1" x14ac:dyDescent="0.3">
      <c r="B51" s="4"/>
      <c r="C51" s="301"/>
      <c r="D51" s="301"/>
      <c r="E51" s="301"/>
      <c r="F51" s="301"/>
      <c r="G51" s="301"/>
      <c r="H51" s="301"/>
      <c r="I51" s="301"/>
      <c r="J51" s="301"/>
      <c r="K51" s="301"/>
      <c r="L51" s="301"/>
      <c r="M51" s="301"/>
      <c r="N51" s="301"/>
      <c r="O51" s="301"/>
      <c r="P51" s="301"/>
      <c r="Q51" s="301"/>
      <c r="R51" s="418"/>
      <c r="S51" s="418"/>
      <c r="T51" s="418"/>
      <c r="U51" s="418"/>
      <c r="V51" s="421"/>
      <c r="W51" s="421"/>
      <c r="X51" s="421"/>
      <c r="Y51" s="421"/>
      <c r="Z51" s="421"/>
      <c r="AA51" s="419"/>
      <c r="AB51" s="419"/>
      <c r="AC51" s="419"/>
      <c r="AD51" s="419"/>
      <c r="AE51" s="419"/>
      <c r="AF51" s="419"/>
      <c r="AG51" s="5"/>
    </row>
    <row r="52" spans="2:33" ht="12" customHeight="1" x14ac:dyDescent="0.3">
      <c r="B52" s="4"/>
      <c r="C52" s="301"/>
      <c r="D52" s="301"/>
      <c r="E52" s="301"/>
      <c r="F52" s="301"/>
      <c r="G52" s="301"/>
      <c r="H52" s="301"/>
      <c r="I52" s="301"/>
      <c r="J52" s="301"/>
      <c r="K52" s="301"/>
      <c r="L52" s="301"/>
      <c r="M52" s="301"/>
      <c r="N52" s="301"/>
      <c r="O52" s="301"/>
      <c r="P52" s="301"/>
      <c r="Q52" s="301"/>
      <c r="R52" s="418"/>
      <c r="S52" s="418"/>
      <c r="T52" s="418"/>
      <c r="U52" s="418"/>
      <c r="V52" s="421"/>
      <c r="W52" s="421"/>
      <c r="X52" s="421"/>
      <c r="Y52" s="421"/>
      <c r="Z52" s="421"/>
      <c r="AA52" s="419"/>
      <c r="AB52" s="419"/>
      <c r="AC52" s="419"/>
      <c r="AD52" s="419"/>
      <c r="AE52" s="419"/>
      <c r="AF52" s="419"/>
      <c r="AG52" s="5"/>
    </row>
    <row r="53" spans="2:33" ht="12" customHeight="1" x14ac:dyDescent="0.3">
      <c r="B53" s="4"/>
      <c r="C53" s="301"/>
      <c r="D53" s="301"/>
      <c r="E53" s="301"/>
      <c r="F53" s="301"/>
      <c r="G53" s="301"/>
      <c r="H53" s="301"/>
      <c r="I53" s="301"/>
      <c r="J53" s="301"/>
      <c r="K53" s="301"/>
      <c r="L53" s="301"/>
      <c r="M53" s="301"/>
      <c r="N53" s="301"/>
      <c r="O53" s="301"/>
      <c r="P53" s="301"/>
      <c r="Q53" s="301"/>
      <c r="R53" s="418"/>
      <c r="S53" s="418"/>
      <c r="T53" s="418"/>
      <c r="U53" s="418"/>
      <c r="V53" s="421"/>
      <c r="W53" s="421"/>
      <c r="X53" s="421"/>
      <c r="Y53" s="421"/>
      <c r="Z53" s="421"/>
      <c r="AA53" s="419"/>
      <c r="AB53" s="419"/>
      <c r="AC53" s="419"/>
      <c r="AD53" s="419"/>
      <c r="AE53" s="419"/>
      <c r="AF53" s="419"/>
      <c r="AG53" s="5"/>
    </row>
    <row r="54" spans="2:33" ht="12" customHeight="1" x14ac:dyDescent="0.3">
      <c r="B54" s="4"/>
      <c r="C54" s="301"/>
      <c r="D54" s="301"/>
      <c r="E54" s="301"/>
      <c r="F54" s="301"/>
      <c r="G54" s="301"/>
      <c r="H54" s="301"/>
      <c r="I54" s="301"/>
      <c r="J54" s="301"/>
      <c r="K54" s="301"/>
      <c r="L54" s="301"/>
      <c r="M54" s="301"/>
      <c r="N54" s="301"/>
      <c r="O54" s="301"/>
      <c r="P54" s="301"/>
      <c r="Q54" s="301"/>
      <c r="R54" s="418"/>
      <c r="S54" s="418"/>
      <c r="T54" s="418"/>
      <c r="U54" s="418"/>
      <c r="V54" s="421"/>
      <c r="W54" s="421"/>
      <c r="X54" s="421"/>
      <c r="Y54" s="421"/>
      <c r="Z54" s="421"/>
      <c r="AA54" s="419"/>
      <c r="AB54" s="419"/>
      <c r="AC54" s="419"/>
      <c r="AD54" s="419"/>
      <c r="AE54" s="419"/>
      <c r="AF54" s="419"/>
      <c r="AG54" s="5"/>
    </row>
    <row r="55" spans="2:33" ht="12" customHeight="1" x14ac:dyDescent="0.3">
      <c r="B55" s="4"/>
      <c r="C55" s="6"/>
      <c r="D55" s="6"/>
      <c r="E55" s="6"/>
      <c r="F55" s="6"/>
      <c r="G55" s="6"/>
      <c r="H55" s="6"/>
      <c r="I55" s="6"/>
      <c r="J55" s="6"/>
      <c r="K55" s="6"/>
      <c r="L55" s="6"/>
      <c r="M55" s="6"/>
      <c r="N55" s="6"/>
      <c r="O55" s="6"/>
      <c r="P55" s="6"/>
      <c r="Q55" s="6"/>
      <c r="R55" s="6"/>
      <c r="S55" s="15"/>
      <c r="T55" s="15"/>
      <c r="U55" s="15"/>
      <c r="V55" s="15"/>
      <c r="W55" s="15"/>
      <c r="X55" s="15"/>
      <c r="Y55" s="15"/>
      <c r="Z55" s="189"/>
      <c r="AA55" s="189"/>
      <c r="AB55" s="189"/>
      <c r="AC55" s="189"/>
      <c r="AD55" s="189"/>
      <c r="AE55" s="189"/>
      <c r="AF55" s="189"/>
      <c r="AG55" s="5"/>
    </row>
    <row r="56" spans="2:33" ht="12" customHeight="1" x14ac:dyDescent="0.3">
      <c r="B56" s="4"/>
      <c r="C56" s="307" t="str">
        <f>HLOOKUP(Language!$B$2,Language!$C$12:$H$656,95)</f>
        <v>5.2 Planed Actions for non detection</v>
      </c>
      <c r="D56" s="307"/>
      <c r="E56" s="307"/>
      <c r="F56" s="307"/>
      <c r="G56" s="307"/>
      <c r="H56" s="307"/>
      <c r="I56" s="307"/>
      <c r="J56" s="307"/>
      <c r="K56" s="307"/>
      <c r="L56" s="307"/>
      <c r="M56" s="307"/>
      <c r="N56" s="307"/>
      <c r="O56" s="307"/>
      <c r="P56" s="307"/>
      <c r="Q56" s="307"/>
      <c r="R56" s="417" t="str">
        <f>HLOOKUP(Language!$B$2,Language!$C$12:$H$656,96)</f>
        <v>Planned date</v>
      </c>
      <c r="S56" s="417"/>
      <c r="T56" s="417"/>
      <c r="U56" s="417"/>
      <c r="V56" s="417" t="str">
        <f>HLOOKUP(Language!$B$2,Language!$C$12:$H$656,97)</f>
        <v>Responsible</v>
      </c>
      <c r="W56" s="417"/>
      <c r="X56" s="417"/>
      <c r="Y56" s="417"/>
      <c r="Z56" s="417"/>
      <c r="AA56" s="417" t="str">
        <f>HLOOKUP(Language!$B$2,Language!$C$12:$H$656,70)</f>
        <v>Remarks</v>
      </c>
      <c r="AB56" s="417"/>
      <c r="AC56" s="417"/>
      <c r="AD56" s="417"/>
      <c r="AE56" s="417"/>
      <c r="AF56" s="417"/>
      <c r="AG56" s="5"/>
    </row>
    <row r="57" spans="2:33" ht="12" customHeight="1" x14ac:dyDescent="0.3">
      <c r="B57" s="4"/>
      <c r="C57" s="301"/>
      <c r="D57" s="301"/>
      <c r="E57" s="301"/>
      <c r="F57" s="301"/>
      <c r="G57" s="301"/>
      <c r="H57" s="301"/>
      <c r="I57" s="301"/>
      <c r="J57" s="301"/>
      <c r="K57" s="301"/>
      <c r="L57" s="301"/>
      <c r="M57" s="301"/>
      <c r="N57" s="301"/>
      <c r="O57" s="301"/>
      <c r="P57" s="301"/>
      <c r="Q57" s="301"/>
      <c r="R57" s="420"/>
      <c r="S57" s="420"/>
      <c r="T57" s="420"/>
      <c r="U57" s="420"/>
      <c r="V57" s="420"/>
      <c r="W57" s="420"/>
      <c r="X57" s="420"/>
      <c r="Y57" s="420"/>
      <c r="Z57" s="420"/>
      <c r="AA57" s="419"/>
      <c r="AB57" s="419"/>
      <c r="AC57" s="419"/>
      <c r="AD57" s="419"/>
      <c r="AE57" s="419"/>
      <c r="AF57" s="419"/>
      <c r="AG57" s="5"/>
    </row>
    <row r="58" spans="2:33" ht="12" customHeight="1" x14ac:dyDescent="0.3">
      <c r="B58" s="4"/>
      <c r="C58" s="301"/>
      <c r="D58" s="301"/>
      <c r="E58" s="301"/>
      <c r="F58" s="301"/>
      <c r="G58" s="301"/>
      <c r="H58" s="301"/>
      <c r="I58" s="301"/>
      <c r="J58" s="301"/>
      <c r="K58" s="301"/>
      <c r="L58" s="301"/>
      <c r="M58" s="301"/>
      <c r="N58" s="301"/>
      <c r="O58" s="301"/>
      <c r="P58" s="301"/>
      <c r="Q58" s="301"/>
      <c r="R58" s="420"/>
      <c r="S58" s="420"/>
      <c r="T58" s="420"/>
      <c r="U58" s="420"/>
      <c r="V58" s="420"/>
      <c r="W58" s="420"/>
      <c r="X58" s="420"/>
      <c r="Y58" s="420"/>
      <c r="Z58" s="420"/>
      <c r="AA58" s="419"/>
      <c r="AB58" s="419"/>
      <c r="AC58" s="419"/>
      <c r="AD58" s="419"/>
      <c r="AE58" s="419"/>
      <c r="AF58" s="419"/>
      <c r="AG58" s="5"/>
    </row>
    <row r="59" spans="2:33" ht="12" customHeight="1" x14ac:dyDescent="0.3">
      <c r="B59" s="4"/>
      <c r="C59" s="301"/>
      <c r="D59" s="301"/>
      <c r="E59" s="301"/>
      <c r="F59" s="301"/>
      <c r="G59" s="301"/>
      <c r="H59" s="301"/>
      <c r="I59" s="301"/>
      <c r="J59" s="301"/>
      <c r="K59" s="301"/>
      <c r="L59" s="301"/>
      <c r="M59" s="301"/>
      <c r="N59" s="301"/>
      <c r="O59" s="301"/>
      <c r="P59" s="301"/>
      <c r="Q59" s="301"/>
      <c r="R59" s="420"/>
      <c r="S59" s="420"/>
      <c r="T59" s="420"/>
      <c r="U59" s="420"/>
      <c r="V59" s="421"/>
      <c r="W59" s="421"/>
      <c r="X59" s="421"/>
      <c r="Y59" s="421"/>
      <c r="Z59" s="421"/>
      <c r="AA59" s="419"/>
      <c r="AB59" s="419"/>
      <c r="AC59" s="419"/>
      <c r="AD59" s="419"/>
      <c r="AE59" s="419"/>
      <c r="AF59" s="419"/>
      <c r="AG59" s="5"/>
    </row>
    <row r="60" spans="2:33" ht="12" customHeight="1" x14ac:dyDescent="0.3">
      <c r="B60" s="4"/>
      <c r="C60" s="301"/>
      <c r="D60" s="301"/>
      <c r="E60" s="301"/>
      <c r="F60" s="301"/>
      <c r="G60" s="301"/>
      <c r="H60" s="301"/>
      <c r="I60" s="301"/>
      <c r="J60" s="301"/>
      <c r="K60" s="301"/>
      <c r="L60" s="301"/>
      <c r="M60" s="301"/>
      <c r="N60" s="301"/>
      <c r="O60" s="301"/>
      <c r="P60" s="301"/>
      <c r="Q60" s="301"/>
      <c r="R60" s="420"/>
      <c r="S60" s="420"/>
      <c r="T60" s="420"/>
      <c r="U60" s="420"/>
      <c r="V60" s="421"/>
      <c r="W60" s="421"/>
      <c r="X60" s="421"/>
      <c r="Y60" s="421"/>
      <c r="Z60" s="421"/>
      <c r="AA60" s="419"/>
      <c r="AB60" s="419"/>
      <c r="AC60" s="419"/>
      <c r="AD60" s="419"/>
      <c r="AE60" s="419"/>
      <c r="AF60" s="419"/>
      <c r="AG60" s="5"/>
    </row>
    <row r="61" spans="2:33" ht="12" customHeight="1" x14ac:dyDescent="0.3">
      <c r="B61" s="4"/>
      <c r="C61" s="301"/>
      <c r="D61" s="301"/>
      <c r="E61" s="301"/>
      <c r="F61" s="301"/>
      <c r="G61" s="301"/>
      <c r="H61" s="301"/>
      <c r="I61" s="301"/>
      <c r="J61" s="301"/>
      <c r="K61" s="301"/>
      <c r="L61" s="301"/>
      <c r="M61" s="301"/>
      <c r="N61" s="301"/>
      <c r="O61" s="301"/>
      <c r="P61" s="301"/>
      <c r="Q61" s="301"/>
      <c r="R61" s="420"/>
      <c r="S61" s="420"/>
      <c r="T61" s="420"/>
      <c r="U61" s="420"/>
      <c r="V61" s="421"/>
      <c r="W61" s="421"/>
      <c r="X61" s="421"/>
      <c r="Y61" s="421"/>
      <c r="Z61" s="421"/>
      <c r="AA61" s="419"/>
      <c r="AB61" s="419"/>
      <c r="AC61" s="419"/>
      <c r="AD61" s="419"/>
      <c r="AE61" s="419"/>
      <c r="AF61" s="419"/>
      <c r="AG61" s="5"/>
    </row>
    <row r="62" spans="2:33" ht="12" customHeight="1" x14ac:dyDescent="0.3">
      <c r="B62" s="4"/>
      <c r="C62" s="301"/>
      <c r="D62" s="301"/>
      <c r="E62" s="301"/>
      <c r="F62" s="301"/>
      <c r="G62" s="301"/>
      <c r="H62" s="301"/>
      <c r="I62" s="301"/>
      <c r="J62" s="301"/>
      <c r="K62" s="301"/>
      <c r="L62" s="301"/>
      <c r="M62" s="301"/>
      <c r="N62" s="301"/>
      <c r="O62" s="301"/>
      <c r="P62" s="301"/>
      <c r="Q62" s="301"/>
      <c r="R62" s="420"/>
      <c r="S62" s="420"/>
      <c r="T62" s="420"/>
      <c r="U62" s="420"/>
      <c r="V62" s="421"/>
      <c r="W62" s="421"/>
      <c r="X62" s="421"/>
      <c r="Y62" s="421"/>
      <c r="Z62" s="421"/>
      <c r="AA62" s="419"/>
      <c r="AB62" s="419"/>
      <c r="AC62" s="419"/>
      <c r="AD62" s="419"/>
      <c r="AE62" s="419"/>
      <c r="AF62" s="419"/>
      <c r="AG62" s="5"/>
    </row>
    <row r="63" spans="2:33" ht="12" customHeight="1" x14ac:dyDescent="0.3">
      <c r="B63" s="4"/>
      <c r="C63" s="301"/>
      <c r="D63" s="301"/>
      <c r="E63" s="301"/>
      <c r="F63" s="301"/>
      <c r="G63" s="301"/>
      <c r="H63" s="301"/>
      <c r="I63" s="301"/>
      <c r="J63" s="301"/>
      <c r="K63" s="301"/>
      <c r="L63" s="301"/>
      <c r="M63" s="301"/>
      <c r="N63" s="301"/>
      <c r="O63" s="301"/>
      <c r="P63" s="301"/>
      <c r="Q63" s="301"/>
      <c r="R63" s="420"/>
      <c r="S63" s="420"/>
      <c r="T63" s="420"/>
      <c r="U63" s="420"/>
      <c r="V63" s="421"/>
      <c r="W63" s="421"/>
      <c r="X63" s="421"/>
      <c r="Y63" s="421"/>
      <c r="Z63" s="421"/>
      <c r="AA63" s="419"/>
      <c r="AB63" s="419"/>
      <c r="AC63" s="419"/>
      <c r="AD63" s="419"/>
      <c r="AE63" s="419"/>
      <c r="AF63" s="419"/>
      <c r="AG63" s="5"/>
    </row>
    <row r="64" spans="2:33" ht="12" customHeight="1" x14ac:dyDescent="0.3">
      <c r="B64" s="4"/>
      <c r="C64" s="301"/>
      <c r="D64" s="301"/>
      <c r="E64" s="301"/>
      <c r="F64" s="301"/>
      <c r="G64" s="301"/>
      <c r="H64" s="301"/>
      <c r="I64" s="301"/>
      <c r="J64" s="301"/>
      <c r="K64" s="301"/>
      <c r="L64" s="301"/>
      <c r="M64" s="301"/>
      <c r="N64" s="301"/>
      <c r="O64" s="301"/>
      <c r="P64" s="301"/>
      <c r="Q64" s="301"/>
      <c r="R64" s="420"/>
      <c r="S64" s="420"/>
      <c r="T64" s="420"/>
      <c r="U64" s="420"/>
      <c r="V64" s="421"/>
      <c r="W64" s="421"/>
      <c r="X64" s="421"/>
      <c r="Y64" s="421"/>
      <c r="Z64" s="421"/>
      <c r="AA64" s="419"/>
      <c r="AB64" s="419"/>
      <c r="AC64" s="419"/>
      <c r="AD64" s="419"/>
      <c r="AE64" s="419"/>
      <c r="AF64" s="419"/>
      <c r="AG64" s="5"/>
    </row>
    <row r="65" spans="2:33" ht="12" customHeight="1" x14ac:dyDescent="0.3">
      <c r="B65" s="4"/>
      <c r="C65" s="301"/>
      <c r="D65" s="301"/>
      <c r="E65" s="301"/>
      <c r="F65" s="301"/>
      <c r="G65" s="301"/>
      <c r="H65" s="301"/>
      <c r="I65" s="301"/>
      <c r="J65" s="301"/>
      <c r="K65" s="301"/>
      <c r="L65" s="301"/>
      <c r="M65" s="301"/>
      <c r="N65" s="301"/>
      <c r="O65" s="301"/>
      <c r="P65" s="301"/>
      <c r="Q65" s="301"/>
      <c r="R65" s="420"/>
      <c r="S65" s="420"/>
      <c r="T65" s="420"/>
      <c r="U65" s="420"/>
      <c r="V65" s="421"/>
      <c r="W65" s="421"/>
      <c r="X65" s="421"/>
      <c r="Y65" s="421"/>
      <c r="Z65" s="421"/>
      <c r="AA65" s="419"/>
      <c r="AB65" s="419"/>
      <c r="AC65" s="419"/>
      <c r="AD65" s="419"/>
      <c r="AE65" s="419"/>
      <c r="AF65" s="419"/>
      <c r="AG65" s="5"/>
    </row>
    <row r="66" spans="2:33" ht="12" customHeight="1" x14ac:dyDescent="0.3">
      <c r="B66" s="4"/>
      <c r="C66" s="301"/>
      <c r="D66" s="301"/>
      <c r="E66" s="301"/>
      <c r="F66" s="301"/>
      <c r="G66" s="301"/>
      <c r="H66" s="301"/>
      <c r="I66" s="301"/>
      <c r="J66" s="301"/>
      <c r="K66" s="301"/>
      <c r="L66" s="301"/>
      <c r="M66" s="301"/>
      <c r="N66" s="301"/>
      <c r="O66" s="301"/>
      <c r="P66" s="301"/>
      <c r="Q66" s="301"/>
      <c r="R66" s="420"/>
      <c r="S66" s="420"/>
      <c r="T66" s="420"/>
      <c r="U66" s="420"/>
      <c r="V66" s="421"/>
      <c r="W66" s="421"/>
      <c r="X66" s="421"/>
      <c r="Y66" s="421"/>
      <c r="Z66" s="421"/>
      <c r="AA66" s="419"/>
      <c r="AB66" s="419"/>
      <c r="AC66" s="419"/>
      <c r="AD66" s="419"/>
      <c r="AE66" s="419"/>
      <c r="AF66" s="419"/>
      <c r="AG66" s="5"/>
    </row>
    <row r="67" spans="2:33" ht="12" customHeight="1" x14ac:dyDescent="0.3">
      <c r="B67" s="4"/>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5"/>
    </row>
    <row r="68" spans="2:33" ht="12" customHeight="1" x14ac:dyDescent="0.3">
      <c r="B68" s="4"/>
      <c r="C68" s="15"/>
      <c r="D68" s="15"/>
      <c r="F68" s="12"/>
      <c r="G68" s="12"/>
      <c r="H68" s="6"/>
      <c r="I68" s="6"/>
      <c r="J68" s="6"/>
      <c r="K68" s="6"/>
      <c r="L68" s="12"/>
      <c r="M68" s="12"/>
      <c r="N68" s="12"/>
      <c r="O68" s="12"/>
      <c r="P68" s="22"/>
      <c r="Q68" s="6"/>
      <c r="R68" s="6"/>
      <c r="S68" s="6"/>
      <c r="T68" s="12"/>
      <c r="U68" s="12"/>
      <c r="V68" s="12"/>
      <c r="W68" s="22"/>
      <c r="X68" s="22"/>
      <c r="Y68" s="6"/>
      <c r="AA68" s="12"/>
      <c r="AB68" s="12"/>
      <c r="AC68" s="12"/>
      <c r="AD68" s="22"/>
      <c r="AE68" s="22"/>
      <c r="AF68" s="22"/>
      <c r="AG68" s="5"/>
    </row>
    <row r="69" spans="2:33" ht="12" customHeight="1" thickBot="1" x14ac:dyDescent="0.35">
      <c r="B69" s="18"/>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20"/>
    </row>
    <row r="70" spans="2:33" ht="12" customHeight="1" x14ac:dyDescent="0.3">
      <c r="S70" s="6"/>
    </row>
    <row r="71" spans="2:33" ht="12" customHeight="1" x14ac:dyDescent="0.3"/>
    <row r="72" spans="2:33" ht="12" customHeight="1" x14ac:dyDescent="0.3"/>
    <row r="73" spans="2:33" ht="12" customHeight="1" x14ac:dyDescent="0.3"/>
    <row r="74" spans="2:33" ht="12" customHeight="1" x14ac:dyDescent="0.3"/>
    <row r="75" spans="2:33" ht="12" customHeight="1" x14ac:dyDescent="0.3"/>
    <row r="76" spans="2:33" ht="12" customHeight="1" x14ac:dyDescent="0.3"/>
    <row r="77" spans="2:33" ht="12" customHeight="1" x14ac:dyDescent="0.3"/>
    <row r="78" spans="2:33" ht="12" customHeight="1" x14ac:dyDescent="0.3"/>
  </sheetData>
  <sheetProtection algorithmName="SHA-512" hashValue="6qu9bWUAf8JKQM+MEfyy1kAmh4cj0xhfKQvKuse4MDD6fSxWvR+gNNSSli8GLqH0/WZ70OzeKAUSe3h6sYSsMw==" saltValue="HpFSANtSfDWIvwfkzW/tww==" spinCount="100000" sheet="1" formatCells="0" selectLockedCells="1"/>
  <mergeCells count="98">
    <mergeCell ref="AA65:AF66"/>
    <mergeCell ref="C56:Q56"/>
    <mergeCell ref="C49:Q50"/>
    <mergeCell ref="V49:Z50"/>
    <mergeCell ref="C61:Q62"/>
    <mergeCell ref="V61:Z62"/>
    <mergeCell ref="C57:Q58"/>
    <mergeCell ref="C59:Q60"/>
    <mergeCell ref="C63:Q64"/>
    <mergeCell ref="C65:Q66"/>
    <mergeCell ref="V57:Z58"/>
    <mergeCell ref="V59:Z60"/>
    <mergeCell ref="AA53:AF54"/>
    <mergeCell ref="AA56:AF56"/>
    <mergeCell ref="AA57:AF58"/>
    <mergeCell ref="V63:Z64"/>
    <mergeCell ref="V65:Z66"/>
    <mergeCell ref="C47:Q48"/>
    <mergeCell ref="C51:Q52"/>
    <mergeCell ref="C53:Q54"/>
    <mergeCell ref="R47:U48"/>
    <mergeCell ref="R49:U50"/>
    <mergeCell ref="R51:U52"/>
    <mergeCell ref="R53:U54"/>
    <mergeCell ref="R56:U56"/>
    <mergeCell ref="R57:U58"/>
    <mergeCell ref="R59:U60"/>
    <mergeCell ref="R61:U62"/>
    <mergeCell ref="R63:U64"/>
    <mergeCell ref="R65:U66"/>
    <mergeCell ref="AA59:AF60"/>
    <mergeCell ref="AA61:AF62"/>
    <mergeCell ref="AA63:AF64"/>
    <mergeCell ref="V56:Z56"/>
    <mergeCell ref="V45:Z46"/>
    <mergeCell ref="V47:Z48"/>
    <mergeCell ref="V51:Z52"/>
    <mergeCell ref="V53:Z54"/>
    <mergeCell ref="AA45:AF46"/>
    <mergeCell ref="AA47:AF48"/>
    <mergeCell ref="AA49:AF50"/>
    <mergeCell ref="AA51:AF52"/>
    <mergeCell ref="C37:AF37"/>
    <mergeCell ref="C38:AF40"/>
    <mergeCell ref="U35:X35"/>
    <mergeCell ref="O35:R35"/>
    <mergeCell ref="AA44:AF44"/>
    <mergeCell ref="C45:Q46"/>
    <mergeCell ref="B42:AG42"/>
    <mergeCell ref="C44:Q44"/>
    <mergeCell ref="V44:Z44"/>
    <mergeCell ref="R44:U44"/>
    <mergeCell ref="R45:U46"/>
    <mergeCell ref="T3:V3"/>
    <mergeCell ref="T5:Y5"/>
    <mergeCell ref="C32:AF33"/>
    <mergeCell ref="W3:Y3"/>
    <mergeCell ref="B11:P11"/>
    <mergeCell ref="Z13:AF13"/>
    <mergeCell ref="U13:Y13"/>
    <mergeCell ref="C13:T13"/>
    <mergeCell ref="C20:AF20"/>
    <mergeCell ref="C21:AF22"/>
    <mergeCell ref="T4:Y4"/>
    <mergeCell ref="B5:F5"/>
    <mergeCell ref="G5:L5"/>
    <mergeCell ref="M5:S5"/>
    <mergeCell ref="G29:S29"/>
    <mergeCell ref="W7:AF7"/>
    <mergeCell ref="W8:AF8"/>
    <mergeCell ref="C7:G7"/>
    <mergeCell ref="H7:Q7"/>
    <mergeCell ref="R7:V7"/>
    <mergeCell ref="C8:G8"/>
    <mergeCell ref="H8:Q8"/>
    <mergeCell ref="R8:V8"/>
    <mergeCell ref="B10:AG10"/>
    <mergeCell ref="Q11:T11"/>
    <mergeCell ref="U11:W11"/>
    <mergeCell ref="C25:AF27"/>
    <mergeCell ref="C24:T24"/>
    <mergeCell ref="U24:Y24"/>
    <mergeCell ref="Z1:AG3"/>
    <mergeCell ref="AA4:AD5"/>
    <mergeCell ref="AE4:AF5"/>
    <mergeCell ref="C31:AF31"/>
    <mergeCell ref="AI11:AK12"/>
    <mergeCell ref="AI6:AK8"/>
    <mergeCell ref="B1:Y2"/>
    <mergeCell ref="Z24:AF24"/>
    <mergeCell ref="G18:R18"/>
    <mergeCell ref="C14:AF16"/>
    <mergeCell ref="AI2:AJ3"/>
    <mergeCell ref="B3:F3"/>
    <mergeCell ref="G3:S3"/>
    <mergeCell ref="B4:F4"/>
    <mergeCell ref="G4:L4"/>
    <mergeCell ref="M4:S4"/>
  </mergeCells>
  <conditionalFormatting sqref="C14 C25 C45">
    <cfRule type="cellIs" dxfId="146" priority="36" operator="equal">
      <formula>""</formula>
    </cfRule>
  </conditionalFormatting>
  <conditionalFormatting sqref="C57">
    <cfRule type="cellIs" dxfId="145" priority="15" operator="equal">
      <formula>""</formula>
    </cfRule>
  </conditionalFormatting>
  <conditionalFormatting sqref="C20:AF22">
    <cfRule type="expression" dxfId="144" priority="57">
      <formula>(ISBLANK($C$21)=FALSE)</formula>
    </cfRule>
    <cfRule type="expression" priority="58">
      <formula>$AR$12=FALSE</formula>
    </cfRule>
    <cfRule type="expression" dxfId="143" priority="59">
      <formula>$AR$12=TRUE</formula>
    </cfRule>
  </conditionalFormatting>
  <conditionalFormatting sqref="C31:AF33">
    <cfRule type="expression" dxfId="142" priority="73">
      <formula>(ISBLANK($C$32)=FALSE)</formula>
    </cfRule>
    <cfRule type="expression" priority="74">
      <formula>$AR$18=FALSE</formula>
    </cfRule>
    <cfRule type="expression" dxfId="141" priority="75">
      <formula>$AR$18=TRUE</formula>
    </cfRule>
  </conditionalFormatting>
  <conditionalFormatting sqref="C37:AF40">
    <cfRule type="expression" dxfId="140" priority="26">
      <formula>(ISBLANK($C$38)=FALSE)</formula>
    </cfRule>
  </conditionalFormatting>
  <conditionalFormatting sqref="G4:L4">
    <cfRule type="cellIs" dxfId="138" priority="5" operator="equal">
      <formula>""</formula>
    </cfRule>
  </conditionalFormatting>
  <conditionalFormatting sqref="G3:S3">
    <cfRule type="cellIs" dxfId="137" priority="6" operator="equal">
      <formula>""</formula>
    </cfRule>
  </conditionalFormatting>
  <conditionalFormatting sqref="H7:Q8 W7:AF8">
    <cfRule type="cellIs" dxfId="136" priority="41" operator="equal">
      <formula>""</formula>
    </cfRule>
  </conditionalFormatting>
  <conditionalFormatting sqref="O35:R35 U35:X35">
    <cfRule type="expression" dxfId="135" priority="84">
      <formula>$AR$21=TRUE</formula>
    </cfRule>
    <cfRule type="expression" dxfId="134" priority="85">
      <formula>$AR$20=TRUE</formula>
    </cfRule>
  </conditionalFormatting>
  <conditionalFormatting sqref="R45">
    <cfRule type="cellIs" dxfId="133" priority="10" operator="equal">
      <formula>""</formula>
    </cfRule>
  </conditionalFormatting>
  <conditionalFormatting sqref="R57">
    <cfRule type="cellIs" dxfId="132" priority="13" operator="equal">
      <formula>""</formula>
    </cfRule>
  </conditionalFormatting>
  <conditionalFormatting sqref="T18 W18">
    <cfRule type="expression" dxfId="131" priority="55">
      <formula>$AR$11=TRUE</formula>
    </cfRule>
    <cfRule type="expression" dxfId="130" priority="56">
      <formula>$AR$10=TRUE</formula>
    </cfRule>
  </conditionalFormatting>
  <conditionalFormatting sqref="T4:Y5 G5">
    <cfRule type="cellIs" dxfId="129" priority="44" operator="equal">
      <formula>""</formula>
    </cfRule>
  </conditionalFormatting>
  <conditionalFormatting sqref="U29">
    <cfRule type="expression" dxfId="128" priority="1">
      <formula>$AR$11=TRUE</formula>
    </cfRule>
    <cfRule type="expression" dxfId="127" priority="2">
      <formula>$AR$16=TRUE</formula>
    </cfRule>
  </conditionalFormatting>
  <conditionalFormatting sqref="V45">
    <cfRule type="cellIs" dxfId="126" priority="9" operator="equal">
      <formula>""</formula>
    </cfRule>
  </conditionalFormatting>
  <conditionalFormatting sqref="V57">
    <cfRule type="cellIs" dxfId="125" priority="12" operator="equal">
      <formula>""</formula>
    </cfRule>
  </conditionalFormatting>
  <conditionalFormatting sqref="W3:Y3">
    <cfRule type="cellIs" dxfId="124" priority="7" operator="equal">
      <formula>""</formula>
    </cfRule>
  </conditionalFormatting>
  <conditionalFormatting sqref="X29">
    <cfRule type="expression" dxfId="123" priority="3">
      <formula>$AR$11=TRUE</formula>
    </cfRule>
    <cfRule type="expression" dxfId="122" priority="4">
      <formula>$AR$16=TRUE</formula>
    </cfRule>
  </conditionalFormatting>
  <dataValidations disablePrompts="1" count="1">
    <dataValidation type="list" allowBlank="1" showInputMessage="1" showErrorMessage="1" sqref="AD9:AF9" xr:uid="{313D2C3C-ACAC-4DFE-B6A7-9F43A66C8909}">
      <formula1>#REF!</formula1>
    </dataValidation>
  </dataValidations>
  <hyperlinks>
    <hyperlink ref="Q11:T11" location="Ishikawa!A1" display="Ishikawa" xr:uid="{C33F2B3F-697F-4D07-BC43-3C040A3AB904}"/>
    <hyperlink ref="U11:W11" location="'5- Why'!A1" display="5- Why" xr:uid="{C8C012CE-52BB-4615-B642-8CBB5E774017}"/>
    <hyperlink ref="AJ9" location="Notice!A1" display="Notice" xr:uid="{25AB8802-5BD9-4D37-A387-CC620D292A6E}"/>
  </hyperlinks>
  <pageMargins left="0.31496062992125984" right="0.31496062992125984" top="0.31496062992125984" bottom="0.31496062992125984" header="0" footer="0"/>
  <pageSetup paperSize="9" scale="87" orientation="portrait" r:id="rId1"/>
  <headerFooter scaleWithDoc="0" alignWithMargins="0"/>
  <ignoredErrors>
    <ignoredError sqref="G5 T4:T5 H7:H8 W7:W8 AR10:AR11 AR16 AR20:AR2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18</xdr:col>
                    <xdr:colOff>0</xdr:colOff>
                    <xdr:row>16</xdr:row>
                    <xdr:rowOff>53340</xdr:rowOff>
                  </from>
                  <to>
                    <xdr:col>18</xdr:col>
                    <xdr:colOff>220980</xdr:colOff>
                    <xdr:row>18</xdr:row>
                    <xdr:rowOff>22860</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from>
                    <xdr:col>18</xdr:col>
                    <xdr:colOff>228600</xdr:colOff>
                    <xdr:row>27</xdr:row>
                    <xdr:rowOff>60960</xdr:rowOff>
                  </from>
                  <to>
                    <xdr:col>19</xdr:col>
                    <xdr:colOff>220980</xdr:colOff>
                    <xdr:row>29</xdr:row>
                    <xdr:rowOff>22860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21</xdr:col>
                    <xdr:colOff>228600</xdr:colOff>
                    <xdr:row>27</xdr:row>
                    <xdr:rowOff>45720</xdr:rowOff>
                  </from>
                  <to>
                    <xdr:col>23</xdr:col>
                    <xdr:colOff>30480</xdr:colOff>
                    <xdr:row>29</xdr:row>
                    <xdr:rowOff>22860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13</xdr:col>
                    <xdr:colOff>0</xdr:colOff>
                    <xdr:row>33</xdr:row>
                    <xdr:rowOff>60960</xdr:rowOff>
                  </from>
                  <to>
                    <xdr:col>13</xdr:col>
                    <xdr:colOff>190500</xdr:colOff>
                    <xdr:row>35</xdr:row>
                    <xdr:rowOff>22860</xdr:rowOff>
                  </to>
                </anchor>
              </controlPr>
            </control>
          </mc:Choice>
        </mc:AlternateContent>
        <mc:AlternateContent xmlns:mc="http://schemas.openxmlformats.org/markup-compatibility/2006">
          <mc:Choice Requires="x14">
            <control shapeId="3085" r:id="rId8" name="Check Box 13">
              <controlPr defaultSize="0" autoFill="0" autoLine="0" autoPict="0">
                <anchor moveWithCells="1">
                  <from>
                    <xdr:col>18</xdr:col>
                    <xdr:colOff>228600</xdr:colOff>
                    <xdr:row>33</xdr:row>
                    <xdr:rowOff>60960</xdr:rowOff>
                  </from>
                  <to>
                    <xdr:col>19</xdr:col>
                    <xdr:colOff>190500</xdr:colOff>
                    <xdr:row>35</xdr:row>
                    <xdr:rowOff>22860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21</xdr:col>
                    <xdr:colOff>0</xdr:colOff>
                    <xdr:row>16</xdr:row>
                    <xdr:rowOff>45720</xdr:rowOff>
                  </from>
                  <to>
                    <xdr:col>22</xdr:col>
                    <xdr:colOff>38100</xdr:colOff>
                    <xdr:row>18</xdr:row>
                    <xdr:rowOff>22860</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22</xdr:col>
                    <xdr:colOff>0</xdr:colOff>
                    <xdr:row>27</xdr:row>
                    <xdr:rowOff>45720</xdr:rowOff>
                  </from>
                  <to>
                    <xdr:col>23</xdr:col>
                    <xdr:colOff>38100</xdr:colOff>
                    <xdr:row>29</xdr:row>
                    <xdr:rowOff>15240</xdr:rowOff>
                  </to>
                </anchor>
              </controlPr>
            </control>
          </mc:Choice>
        </mc:AlternateContent>
        <mc:AlternateContent xmlns:mc="http://schemas.openxmlformats.org/markup-compatibility/2006">
          <mc:Choice Requires="x14">
            <control shapeId="3088" r:id="rId11" name="Drop Down 16">
              <controlPr defaultSize="0" print="0" autoLine="0" autoPict="0">
                <anchor moveWithCells="1">
                  <from>
                    <xdr:col>35</xdr:col>
                    <xdr:colOff>510540</xdr:colOff>
                    <xdr:row>10</xdr:row>
                    <xdr:rowOff>30480</xdr:rowOff>
                  </from>
                  <to>
                    <xdr:col>36</xdr:col>
                    <xdr:colOff>746760</xdr:colOff>
                    <xdr:row>11</xdr:row>
                    <xdr:rowOff>121920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7" id="{F77150C7-1399-4914-A8C2-A782740718B2}">
            <xm:f>'D1-D3'!$AR$5=FALSE</xm:f>
            <x14:dxf/>
          </x14:cfRule>
          <x14:cfRule type="expression" priority="88" id="{57D560DE-DB5A-4D35-97F9-2DA05D78C93F}">
            <xm:f>'D1-D3'!$AR$5=TRUE</xm:f>
            <x14:dxf>
              <fill>
                <patternFill>
                  <bgColor rgb="FFFF6969"/>
                </patternFill>
              </fill>
            </x14:dxf>
          </x14:cfRule>
          <xm:sqref>C37:AF40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B0F0-10D9-4617-91A8-8059AEFFD02D}">
  <sheetPr codeName="Tabelle5">
    <tabColor theme="7" tint="0.39997558519241921"/>
    <pageSetUpPr fitToPage="1"/>
  </sheetPr>
  <dimension ref="B1:AS120"/>
  <sheetViews>
    <sheetView showGridLines="0" topLeftCell="A43" zoomScale="130" zoomScaleNormal="130" zoomScaleSheetLayoutView="130" workbookViewId="0">
      <selection activeCell="C63" sqref="C63:J63"/>
    </sheetView>
  </sheetViews>
  <sheetFormatPr baseColWidth="10" defaultColWidth="10.88671875" defaultRowHeight="14.4" x14ac:dyDescent="0.3"/>
  <cols>
    <col min="2" max="14" width="3.33203125" style="7" customWidth="1"/>
    <col min="15" max="15" width="6.109375" style="7" customWidth="1"/>
    <col min="16" max="33" width="3.33203125" style="7" customWidth="1"/>
    <col min="44" max="44" width="11.5546875" style="73" hidden="1" customWidth="1"/>
    <col min="45" max="45" width="11.5546875" style="142" hidden="1" customWidth="1"/>
  </cols>
  <sheetData>
    <row r="1" spans="2:45" ht="12" customHeight="1" x14ac:dyDescent="0.3">
      <c r="B1" s="333" t="str">
        <f>HLOOKUP(Language!$B$2,Language!$C$12:$H$656,2)</f>
        <v>8D- Report</v>
      </c>
      <c r="C1" s="334"/>
      <c r="D1" s="334"/>
      <c r="E1" s="334"/>
      <c r="F1" s="334"/>
      <c r="G1" s="334"/>
      <c r="H1" s="334"/>
      <c r="I1" s="334"/>
      <c r="J1" s="334"/>
      <c r="K1" s="334"/>
      <c r="L1" s="334"/>
      <c r="M1" s="334"/>
      <c r="N1" s="334"/>
      <c r="O1" s="334"/>
      <c r="P1" s="334"/>
      <c r="Q1" s="334"/>
      <c r="R1" s="334"/>
      <c r="S1" s="334"/>
      <c r="T1" s="334"/>
      <c r="U1" s="334"/>
      <c r="V1" s="334"/>
      <c r="W1" s="334"/>
      <c r="X1" s="334"/>
      <c r="Y1" s="334"/>
      <c r="Z1" s="268" t="e" vm="1">
        <v>#VALUE!</v>
      </c>
      <c r="AA1" s="269"/>
      <c r="AB1" s="269"/>
      <c r="AC1" s="269"/>
      <c r="AD1" s="269"/>
      <c r="AE1" s="269"/>
      <c r="AF1" s="269"/>
      <c r="AG1" s="270"/>
    </row>
    <row r="2" spans="2:45" ht="12" customHeight="1" x14ac:dyDescent="0.3">
      <c r="B2" s="335"/>
      <c r="C2" s="336"/>
      <c r="D2" s="336"/>
      <c r="E2" s="336"/>
      <c r="F2" s="336"/>
      <c r="G2" s="336"/>
      <c r="H2" s="336"/>
      <c r="I2" s="336"/>
      <c r="J2" s="336"/>
      <c r="K2" s="336"/>
      <c r="L2" s="336"/>
      <c r="M2" s="336"/>
      <c r="N2" s="336"/>
      <c r="O2" s="336"/>
      <c r="P2" s="336"/>
      <c r="Q2" s="336"/>
      <c r="R2" s="336"/>
      <c r="S2" s="336"/>
      <c r="T2" s="336"/>
      <c r="U2" s="336"/>
      <c r="V2" s="336"/>
      <c r="W2" s="336"/>
      <c r="X2" s="336"/>
      <c r="Y2" s="336"/>
      <c r="Z2" s="271"/>
      <c r="AA2" s="272"/>
      <c r="AB2" s="272"/>
      <c r="AC2" s="272"/>
      <c r="AD2" s="272"/>
      <c r="AE2" s="272"/>
      <c r="AF2" s="272"/>
      <c r="AG2" s="273"/>
      <c r="AI2" s="362" t="str">
        <f>HLOOKUP(Language!$B$2,Language!$C$12:$H$656,3)</f>
        <v>Fields or text marked in red are required</v>
      </c>
      <c r="AJ2" s="363"/>
    </row>
    <row r="3" spans="2:45" ht="31.05" customHeight="1" x14ac:dyDescent="0.3">
      <c r="B3" s="337" t="str">
        <f>HLOOKUP(Language!$B$2,Language!$C$12:$H$656,8)</f>
        <v>Contact Person (Customer):</v>
      </c>
      <c r="C3" s="338"/>
      <c r="D3" s="338"/>
      <c r="E3" s="338"/>
      <c r="F3" s="339"/>
      <c r="G3" s="338" t="str">
        <f>IF('D1-D3'!$G$3="","",'D1-D3'!$G$3)</f>
        <v/>
      </c>
      <c r="H3" s="338"/>
      <c r="I3" s="338"/>
      <c r="J3" s="338"/>
      <c r="K3" s="338"/>
      <c r="L3" s="338"/>
      <c r="M3" s="338"/>
      <c r="N3" s="338"/>
      <c r="O3" s="338"/>
      <c r="P3" s="338"/>
      <c r="Q3" s="338"/>
      <c r="R3" s="338"/>
      <c r="S3" s="338"/>
      <c r="T3" s="349" t="str">
        <f>HLOOKUP(Language!$B$2,Language!$C$12:$H$656,5)</f>
        <v>8D started on:</v>
      </c>
      <c r="U3" s="338"/>
      <c r="V3" s="339"/>
      <c r="W3" s="411" t="str">
        <f>IF('D1-D3'!$W$3="","",'D1-D3'!$W$3)</f>
        <v/>
      </c>
      <c r="X3" s="411"/>
      <c r="Y3" s="412"/>
      <c r="Z3" s="271"/>
      <c r="AA3" s="272"/>
      <c r="AB3" s="272"/>
      <c r="AC3" s="272"/>
      <c r="AD3" s="272"/>
      <c r="AE3" s="272"/>
      <c r="AF3" s="272"/>
      <c r="AG3" s="273"/>
      <c r="AI3" s="364"/>
      <c r="AJ3" s="365"/>
    </row>
    <row r="4" spans="2:45" ht="12" customHeight="1" x14ac:dyDescent="0.3">
      <c r="B4" s="340" t="str">
        <f>HLOOKUP(Language!$B$2,Language!$C$12:$H$656,7)</f>
        <v>Customer:</v>
      </c>
      <c r="C4" s="311"/>
      <c r="D4" s="311"/>
      <c r="E4" s="311"/>
      <c r="F4" s="312"/>
      <c r="G4" s="395" t="str">
        <f>IF('D1-D3'!$G$4="","",'D1-D3'!$G$4)</f>
        <v/>
      </c>
      <c r="H4" s="396"/>
      <c r="I4" s="396"/>
      <c r="J4" s="396"/>
      <c r="K4" s="396"/>
      <c r="L4" s="397"/>
      <c r="M4" s="310" t="str">
        <f>HLOOKUP(Language!$B$2,Language!$C$12:$H$656,15)</f>
        <v>Supplier:</v>
      </c>
      <c r="N4" s="311"/>
      <c r="O4" s="311"/>
      <c r="P4" s="311"/>
      <c r="Q4" s="311"/>
      <c r="R4" s="311"/>
      <c r="S4" s="312"/>
      <c r="T4" s="395" t="str">
        <f>IF('D1-D3'!$T$4="","",'D1-D3'!$T$4)</f>
        <v/>
      </c>
      <c r="U4" s="396"/>
      <c r="V4" s="396"/>
      <c r="W4" s="396"/>
      <c r="X4" s="396"/>
      <c r="Y4" s="415"/>
      <c r="Z4" s="250"/>
      <c r="AA4" s="274" t="str">
        <f>HLOOKUP(Language!$B$2,Language!$C$12:$H$656,6)</f>
        <v>ELS:840 01 04
EOT:4 1021 03-02T
PEL:100 02 03</v>
      </c>
      <c r="AB4" s="274"/>
      <c r="AC4" s="274"/>
      <c r="AD4" s="274"/>
      <c r="AE4" s="276" t="str">
        <f>'D1-D3'!AE4</f>
        <v>Rev.07</v>
      </c>
      <c r="AF4" s="276"/>
      <c r="AG4" s="251"/>
      <c r="AR4" s="75" t="b">
        <v>0</v>
      </c>
      <c r="AS4" s="142" t="s">
        <v>224</v>
      </c>
    </row>
    <row r="5" spans="2:45" s="139" customFormat="1" ht="21" customHeight="1" thickBot="1" x14ac:dyDescent="0.35">
      <c r="B5" s="341" t="str">
        <f>HLOOKUP(Language!$B$2,Language!$C$12:$H$656,9)</f>
        <v>Complaint number (Customer):</v>
      </c>
      <c r="C5" s="342"/>
      <c r="D5" s="342"/>
      <c r="E5" s="342"/>
      <c r="F5" s="343"/>
      <c r="G5" s="405" t="str">
        <f>IF('D1-D3'!$G$5="","",'D1-D3'!$G$5)</f>
        <v/>
      </c>
      <c r="H5" s="406"/>
      <c r="I5" s="406"/>
      <c r="J5" s="406"/>
      <c r="K5" s="406"/>
      <c r="L5" s="416"/>
      <c r="M5" s="324" t="str">
        <f>HLOOKUP(Language!$B$2,Language!$C$12:$H$656,14)</f>
        <v>Complaint number (Supplier):</v>
      </c>
      <c r="N5" s="325"/>
      <c r="O5" s="325"/>
      <c r="P5" s="325"/>
      <c r="Q5" s="325"/>
      <c r="R5" s="325"/>
      <c r="S5" s="326"/>
      <c r="T5" s="405" t="str">
        <f>IF('D1-D3'!$T$5="","",'D1-D3'!$T$5)</f>
        <v/>
      </c>
      <c r="U5" s="406"/>
      <c r="V5" s="406"/>
      <c r="W5" s="406"/>
      <c r="X5" s="406"/>
      <c r="Y5" s="407"/>
      <c r="Z5" s="249"/>
      <c r="AA5" s="275"/>
      <c r="AB5" s="275"/>
      <c r="AC5" s="275"/>
      <c r="AD5" s="275"/>
      <c r="AE5" s="277"/>
      <c r="AF5" s="277"/>
      <c r="AG5" s="97"/>
      <c r="AR5" s="140" t="b">
        <v>0</v>
      </c>
      <c r="AS5" s="142" t="s">
        <v>420</v>
      </c>
    </row>
    <row r="6" spans="2:45" ht="12" customHeight="1" x14ac:dyDescent="0.3">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c r="AI6" s="355" t="str">
        <f>HLOOKUP(Language!$B$2,Language!$C$12:$H$656,17)</f>
        <v>If additional space is required for the extension of the 8D- report</v>
      </c>
      <c r="AJ6" s="356"/>
      <c r="AK6" s="357"/>
      <c r="AR6" s="73" t="b">
        <v>0</v>
      </c>
      <c r="AS6" s="142" t="s">
        <v>370</v>
      </c>
    </row>
    <row r="7" spans="2:45" ht="12" customHeight="1" x14ac:dyDescent="0.3">
      <c r="B7" s="4"/>
      <c r="C7" s="305" t="str">
        <f>HLOOKUP(Language!$B$2,Language!$C$12:$H$656,10)</f>
        <v>Material name:</v>
      </c>
      <c r="D7" s="305"/>
      <c r="E7" s="305"/>
      <c r="F7" s="305"/>
      <c r="G7" s="305"/>
      <c r="H7" s="404" t="str">
        <f>IF('D1-D3'!$H$7="","",'D1-D3'!$H$7)</f>
        <v/>
      </c>
      <c r="I7" s="404"/>
      <c r="J7" s="404"/>
      <c r="K7" s="404"/>
      <c r="L7" s="404"/>
      <c r="M7" s="404"/>
      <c r="N7" s="404"/>
      <c r="O7" s="404"/>
      <c r="P7" s="404"/>
      <c r="Q7" s="404"/>
      <c r="R7" s="305" t="str">
        <f>HLOOKUP(Language!$B$2,Language!$C$12:$H$656,12)</f>
        <v>Drawing no.</v>
      </c>
      <c r="S7" s="305"/>
      <c r="T7" s="305"/>
      <c r="U7" s="305"/>
      <c r="V7" s="305"/>
      <c r="W7" s="404" t="str">
        <f>IF('D1-D3'!$W$7="","",'D1-D3'!$W$7)</f>
        <v/>
      </c>
      <c r="X7" s="404"/>
      <c r="Y7" s="404"/>
      <c r="Z7" s="404"/>
      <c r="AA7" s="404"/>
      <c r="AB7" s="404"/>
      <c r="AC7" s="404"/>
      <c r="AD7" s="404"/>
      <c r="AE7" s="404"/>
      <c r="AF7" s="404"/>
      <c r="AG7" s="5"/>
      <c r="AI7" s="358"/>
      <c r="AJ7" s="359"/>
      <c r="AK7" s="360"/>
      <c r="AR7" s="73" t="b">
        <v>0</v>
      </c>
      <c r="AS7" s="142" t="s">
        <v>112</v>
      </c>
    </row>
    <row r="8" spans="2:45" ht="12" customHeight="1" x14ac:dyDescent="0.3">
      <c r="B8" s="4"/>
      <c r="C8" s="305" t="str">
        <f>HLOOKUP(Language!$B$2,Language!$C$12:$H$656,11)</f>
        <v>Material number:</v>
      </c>
      <c r="D8" s="305"/>
      <c r="E8" s="305"/>
      <c r="F8" s="305"/>
      <c r="G8" s="305"/>
      <c r="H8" s="404" t="str">
        <f>IF('D1-D3'!$H$8="","",'D1-D3'!$H$8)</f>
        <v/>
      </c>
      <c r="I8" s="404"/>
      <c r="J8" s="404"/>
      <c r="K8" s="404"/>
      <c r="L8" s="404"/>
      <c r="M8" s="404"/>
      <c r="N8" s="404"/>
      <c r="O8" s="404"/>
      <c r="P8" s="404"/>
      <c r="Q8" s="404"/>
      <c r="R8" s="305" t="str">
        <f>HLOOKUP(Language!$B$2,Language!$C$12:$H$656,13)</f>
        <v>Drawing revision</v>
      </c>
      <c r="S8" s="305"/>
      <c r="T8" s="305"/>
      <c r="U8" s="305"/>
      <c r="V8" s="305"/>
      <c r="W8" s="404" t="str">
        <f>IF('D1-D3'!$W$8="","",'D1-D3'!$W$8)</f>
        <v/>
      </c>
      <c r="X8" s="404"/>
      <c r="Y8" s="404"/>
      <c r="Z8" s="404"/>
      <c r="AA8" s="404"/>
      <c r="AB8" s="404"/>
      <c r="AC8" s="404"/>
      <c r="AD8" s="404"/>
      <c r="AE8" s="404"/>
      <c r="AF8" s="404"/>
      <c r="AG8" s="5"/>
      <c r="AI8" s="358"/>
      <c r="AJ8" s="359"/>
      <c r="AK8" s="360"/>
      <c r="AR8" s="73" t="b">
        <v>0</v>
      </c>
      <c r="AS8" s="142" t="s">
        <v>114</v>
      </c>
    </row>
    <row r="9" spans="2:45"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c r="AI9" s="136" t="s">
        <v>200</v>
      </c>
      <c r="AJ9" s="138" t="s">
        <v>201</v>
      </c>
      <c r="AK9" s="137" t="s">
        <v>47</v>
      </c>
      <c r="AR9" s="73" t="b">
        <v>0</v>
      </c>
      <c r="AS9" s="142" t="s">
        <v>368</v>
      </c>
    </row>
    <row r="10" spans="2:45" ht="15" customHeight="1" thickBot="1" x14ac:dyDescent="0.35">
      <c r="B10" s="302" t="str">
        <f>HLOOKUP(Language!$B$2,Language!$C$12:$H$656,104)</f>
        <v>D6 - Implemented Corrective Actions</v>
      </c>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4"/>
    </row>
    <row r="11" spans="2:45" ht="12" customHeight="1" x14ac:dyDescent="0.3">
      <c r="B11" s="4"/>
      <c r="C11" s="14"/>
      <c r="D11" s="14"/>
      <c r="E11" s="14"/>
      <c r="F11" s="14"/>
      <c r="G11" s="14"/>
      <c r="H11" s="14"/>
      <c r="I11" s="14"/>
      <c r="J11" s="14"/>
      <c r="K11" s="14"/>
      <c r="L11" s="14"/>
      <c r="M11" s="14"/>
      <c r="N11" s="14"/>
      <c r="O11" s="14"/>
      <c r="P11" s="14"/>
      <c r="Q11" s="14"/>
      <c r="R11" s="14"/>
      <c r="S11" s="14"/>
      <c r="T11" s="14"/>
      <c r="U11" s="34"/>
      <c r="V11" s="34"/>
      <c r="W11" s="34"/>
      <c r="X11" s="34"/>
      <c r="Y11" s="34"/>
      <c r="Z11" s="14"/>
      <c r="AA11" s="14"/>
      <c r="AB11" s="14"/>
      <c r="AC11" s="14"/>
      <c r="AD11" s="14"/>
      <c r="AE11" s="14"/>
      <c r="AF11" s="14"/>
      <c r="AG11" s="5"/>
      <c r="AI11" s="278" t="str">
        <f>HLOOKUP(Language!$B$2,Language!$C$12:$H$656,4)</f>
        <v>Select your language:</v>
      </c>
      <c r="AJ11" s="279"/>
      <c r="AK11" s="280"/>
      <c r="AR11" s="73" t="b">
        <v>0</v>
      </c>
      <c r="AS11" s="142" t="s">
        <v>372</v>
      </c>
    </row>
    <row r="12" spans="2:45" ht="12" customHeight="1" thickBot="1" x14ac:dyDescent="0.35">
      <c r="B12" s="4"/>
      <c r="C12" s="307" t="str">
        <f>HLOOKUP(Language!$B$2,Language!$C$12:$H$656,106)</f>
        <v>6.1 Implemented Actions for occurence</v>
      </c>
      <c r="D12" s="307"/>
      <c r="E12" s="307"/>
      <c r="F12" s="307"/>
      <c r="G12" s="307"/>
      <c r="H12" s="307"/>
      <c r="I12" s="307"/>
      <c r="J12" s="307"/>
      <c r="K12" s="307"/>
      <c r="L12" s="307"/>
      <c r="M12" s="307"/>
      <c r="N12" s="307"/>
      <c r="O12" s="307"/>
      <c r="P12" s="307"/>
      <c r="Q12" s="307"/>
      <c r="R12" s="417" t="str">
        <f>HLOOKUP(Language!$B$2,Language!$C$12:$H$656,57)</f>
        <v>Date</v>
      </c>
      <c r="S12" s="417"/>
      <c r="T12" s="417"/>
      <c r="U12" s="417" t="str">
        <f>HLOOKUP(Language!$B$2,Language!$C$12:$H$656,97)</f>
        <v>Responsible</v>
      </c>
      <c r="V12" s="417"/>
      <c r="W12" s="417"/>
      <c r="X12" s="417"/>
      <c r="Y12" s="417"/>
      <c r="Z12" s="417" t="str">
        <f>HLOOKUP(Language!$B$2,Language!$C$12:$H$656,98)</f>
        <v>Implementation date</v>
      </c>
      <c r="AA12" s="417"/>
      <c r="AB12" s="417"/>
      <c r="AC12" s="417"/>
      <c r="AD12" s="285" t="str">
        <f>HLOOKUP(Language!$B$2,Language!$C$12:$H$656,60)</f>
        <v>Status</v>
      </c>
      <c r="AE12" s="285"/>
      <c r="AF12" s="285"/>
      <c r="AG12" s="5"/>
      <c r="AI12" s="281"/>
      <c r="AJ12" s="282"/>
      <c r="AK12" s="283"/>
    </row>
    <row r="13" spans="2:45" ht="12" customHeight="1" x14ac:dyDescent="0.3">
      <c r="B13" s="4"/>
      <c r="C13" s="435"/>
      <c r="D13" s="436"/>
      <c r="E13" s="436"/>
      <c r="F13" s="436"/>
      <c r="G13" s="436"/>
      <c r="H13" s="436"/>
      <c r="I13" s="436"/>
      <c r="J13" s="436"/>
      <c r="K13" s="436"/>
      <c r="L13" s="436"/>
      <c r="M13" s="436"/>
      <c r="N13" s="436"/>
      <c r="O13" s="436"/>
      <c r="P13" s="436"/>
      <c r="Q13" s="437"/>
      <c r="R13" s="441"/>
      <c r="S13" s="442"/>
      <c r="T13" s="443"/>
      <c r="U13" s="441"/>
      <c r="V13" s="442"/>
      <c r="W13" s="442"/>
      <c r="X13" s="442"/>
      <c r="Y13" s="443"/>
      <c r="Z13" s="441"/>
      <c r="AA13" s="442"/>
      <c r="AB13" s="442"/>
      <c r="AC13" s="443"/>
      <c r="AD13" s="471">
        <v>0</v>
      </c>
      <c r="AE13" s="472"/>
      <c r="AF13" s="473"/>
      <c r="AG13" s="5"/>
    </row>
    <row r="14" spans="2:45" ht="12" customHeight="1" x14ac:dyDescent="0.3">
      <c r="B14" s="4"/>
      <c r="C14" s="438"/>
      <c r="D14" s="439"/>
      <c r="E14" s="439"/>
      <c r="F14" s="439"/>
      <c r="G14" s="439"/>
      <c r="H14" s="439"/>
      <c r="I14" s="439"/>
      <c r="J14" s="439"/>
      <c r="K14" s="439"/>
      <c r="L14" s="439"/>
      <c r="M14" s="439"/>
      <c r="N14" s="439"/>
      <c r="O14" s="439"/>
      <c r="P14" s="439"/>
      <c r="Q14" s="440"/>
      <c r="R14" s="444"/>
      <c r="S14" s="445"/>
      <c r="T14" s="446"/>
      <c r="U14" s="444"/>
      <c r="V14" s="445"/>
      <c r="W14" s="445"/>
      <c r="X14" s="445"/>
      <c r="Y14" s="446"/>
      <c r="Z14" s="444"/>
      <c r="AA14" s="445"/>
      <c r="AB14" s="445"/>
      <c r="AC14" s="446"/>
      <c r="AD14" s="474"/>
      <c r="AE14" s="475"/>
      <c r="AF14" s="476"/>
      <c r="AG14" s="5"/>
    </row>
    <row r="15" spans="2:45" ht="12" customHeight="1" x14ac:dyDescent="0.3">
      <c r="B15" s="4"/>
      <c r="C15" s="301"/>
      <c r="D15" s="301"/>
      <c r="E15" s="301"/>
      <c r="F15" s="301"/>
      <c r="G15" s="301"/>
      <c r="H15" s="301"/>
      <c r="I15" s="301"/>
      <c r="J15" s="301"/>
      <c r="K15" s="301"/>
      <c r="L15" s="301"/>
      <c r="M15" s="301"/>
      <c r="N15" s="301"/>
      <c r="O15" s="301"/>
      <c r="P15" s="301"/>
      <c r="Q15" s="301"/>
      <c r="R15" s="418"/>
      <c r="S15" s="418"/>
      <c r="T15" s="418"/>
      <c r="U15" s="421"/>
      <c r="V15" s="421"/>
      <c r="W15" s="421"/>
      <c r="X15" s="421"/>
      <c r="Y15" s="421"/>
      <c r="Z15" s="463"/>
      <c r="AA15" s="463"/>
      <c r="AB15" s="463"/>
      <c r="AC15" s="463"/>
      <c r="AD15" s="471">
        <v>0</v>
      </c>
      <c r="AE15" s="472"/>
      <c r="AF15" s="473"/>
      <c r="AG15" s="5"/>
      <c r="AR15" s="73" t="b">
        <v>0</v>
      </c>
    </row>
    <row r="16" spans="2:45" ht="12" customHeight="1" x14ac:dyDescent="0.3">
      <c r="B16" s="4"/>
      <c r="C16" s="301"/>
      <c r="D16" s="301"/>
      <c r="E16" s="301"/>
      <c r="F16" s="301"/>
      <c r="G16" s="301"/>
      <c r="H16" s="301"/>
      <c r="I16" s="301"/>
      <c r="J16" s="301"/>
      <c r="K16" s="301"/>
      <c r="L16" s="301"/>
      <c r="M16" s="301"/>
      <c r="N16" s="301"/>
      <c r="O16" s="301"/>
      <c r="P16" s="301"/>
      <c r="Q16" s="301"/>
      <c r="R16" s="418"/>
      <c r="S16" s="418"/>
      <c r="T16" s="418"/>
      <c r="U16" s="421"/>
      <c r="V16" s="421"/>
      <c r="W16" s="421"/>
      <c r="X16" s="421"/>
      <c r="Y16" s="421"/>
      <c r="Z16" s="463"/>
      <c r="AA16" s="463"/>
      <c r="AB16" s="463"/>
      <c r="AC16" s="463"/>
      <c r="AD16" s="474"/>
      <c r="AE16" s="475"/>
      <c r="AF16" s="476"/>
      <c r="AG16" s="5"/>
      <c r="AR16" s="73" t="b">
        <v>0</v>
      </c>
      <c r="AS16" s="142" t="s">
        <v>229</v>
      </c>
    </row>
    <row r="17" spans="2:33" ht="12" customHeight="1" x14ac:dyDescent="0.3">
      <c r="B17" s="4"/>
      <c r="C17" s="301"/>
      <c r="D17" s="301"/>
      <c r="E17" s="301"/>
      <c r="F17" s="301"/>
      <c r="G17" s="301"/>
      <c r="H17" s="301"/>
      <c r="I17" s="301"/>
      <c r="J17" s="301"/>
      <c r="K17" s="301"/>
      <c r="L17" s="301"/>
      <c r="M17" s="301"/>
      <c r="N17" s="301"/>
      <c r="O17" s="301"/>
      <c r="P17" s="301"/>
      <c r="Q17" s="301"/>
      <c r="R17" s="418"/>
      <c r="S17" s="418"/>
      <c r="T17" s="418"/>
      <c r="U17" s="421"/>
      <c r="V17" s="421"/>
      <c r="W17" s="421"/>
      <c r="X17" s="421"/>
      <c r="Y17" s="421"/>
      <c r="Z17" s="463"/>
      <c r="AA17" s="463"/>
      <c r="AB17" s="463"/>
      <c r="AC17" s="463"/>
      <c r="AD17" s="471">
        <v>0</v>
      </c>
      <c r="AE17" s="472"/>
      <c r="AF17" s="473"/>
      <c r="AG17" s="5"/>
    </row>
    <row r="18" spans="2:33" ht="12" customHeight="1" x14ac:dyDescent="0.3">
      <c r="B18" s="4"/>
      <c r="C18" s="301"/>
      <c r="D18" s="301"/>
      <c r="E18" s="301"/>
      <c r="F18" s="301"/>
      <c r="G18" s="301"/>
      <c r="H18" s="301"/>
      <c r="I18" s="301"/>
      <c r="J18" s="301"/>
      <c r="K18" s="301"/>
      <c r="L18" s="301"/>
      <c r="M18" s="301"/>
      <c r="N18" s="301"/>
      <c r="O18" s="301"/>
      <c r="P18" s="301"/>
      <c r="Q18" s="301"/>
      <c r="R18" s="418"/>
      <c r="S18" s="418"/>
      <c r="T18" s="418"/>
      <c r="U18" s="421"/>
      <c r="V18" s="421"/>
      <c r="W18" s="421"/>
      <c r="X18" s="421"/>
      <c r="Y18" s="421"/>
      <c r="Z18" s="463"/>
      <c r="AA18" s="463"/>
      <c r="AB18" s="463"/>
      <c r="AC18" s="463"/>
      <c r="AD18" s="474"/>
      <c r="AE18" s="475"/>
      <c r="AF18" s="476"/>
      <c r="AG18" s="5"/>
    </row>
    <row r="19" spans="2:33" ht="12" customHeight="1" x14ac:dyDescent="0.3">
      <c r="B19" s="4"/>
      <c r="C19" s="301"/>
      <c r="D19" s="301"/>
      <c r="E19" s="301"/>
      <c r="F19" s="301"/>
      <c r="G19" s="301"/>
      <c r="H19" s="301"/>
      <c r="I19" s="301"/>
      <c r="J19" s="301"/>
      <c r="K19" s="301"/>
      <c r="L19" s="301"/>
      <c r="M19" s="301"/>
      <c r="N19" s="301"/>
      <c r="O19" s="301"/>
      <c r="P19" s="301"/>
      <c r="Q19" s="301"/>
      <c r="R19" s="418"/>
      <c r="S19" s="418"/>
      <c r="T19" s="418"/>
      <c r="U19" s="421"/>
      <c r="V19" s="421"/>
      <c r="W19" s="421"/>
      <c r="X19" s="421"/>
      <c r="Y19" s="421"/>
      <c r="Z19" s="463"/>
      <c r="AA19" s="463"/>
      <c r="AB19" s="463"/>
      <c r="AC19" s="463"/>
      <c r="AD19" s="471">
        <v>0</v>
      </c>
      <c r="AE19" s="472"/>
      <c r="AF19" s="473"/>
      <c r="AG19" s="5"/>
    </row>
    <row r="20" spans="2:33" ht="12" customHeight="1" x14ac:dyDescent="0.3">
      <c r="B20" s="4"/>
      <c r="C20" s="301"/>
      <c r="D20" s="301"/>
      <c r="E20" s="301"/>
      <c r="F20" s="301"/>
      <c r="G20" s="301"/>
      <c r="H20" s="301"/>
      <c r="I20" s="301"/>
      <c r="J20" s="301"/>
      <c r="K20" s="301"/>
      <c r="L20" s="301"/>
      <c r="M20" s="301"/>
      <c r="N20" s="301"/>
      <c r="O20" s="301"/>
      <c r="P20" s="301"/>
      <c r="Q20" s="301"/>
      <c r="R20" s="418"/>
      <c r="S20" s="418"/>
      <c r="T20" s="418"/>
      <c r="U20" s="421"/>
      <c r="V20" s="421"/>
      <c r="W20" s="421"/>
      <c r="X20" s="421"/>
      <c r="Y20" s="421"/>
      <c r="Z20" s="463"/>
      <c r="AA20" s="463"/>
      <c r="AB20" s="463"/>
      <c r="AC20" s="463"/>
      <c r="AD20" s="474"/>
      <c r="AE20" s="475"/>
      <c r="AF20" s="476"/>
      <c r="AG20" s="5"/>
    </row>
    <row r="21" spans="2:33" ht="12" customHeight="1" x14ac:dyDescent="0.3">
      <c r="B21" s="4"/>
      <c r="C21" s="6"/>
      <c r="D21" s="6"/>
      <c r="E21" s="6"/>
      <c r="F21" s="6"/>
      <c r="G21" s="6"/>
      <c r="H21" s="6"/>
      <c r="I21" s="6"/>
      <c r="J21" s="6"/>
      <c r="K21" s="6"/>
      <c r="L21" s="6"/>
      <c r="M21" s="6"/>
      <c r="N21" s="6"/>
      <c r="O21" s="6"/>
      <c r="P21" s="6"/>
      <c r="Q21" s="6"/>
      <c r="R21" s="6"/>
      <c r="S21" s="15"/>
      <c r="T21" s="15"/>
      <c r="U21" s="15"/>
      <c r="V21" s="15"/>
      <c r="W21" s="15"/>
      <c r="X21" s="15"/>
      <c r="Y21" s="15"/>
      <c r="Z21" s="15"/>
      <c r="AA21" s="15"/>
      <c r="AB21" s="15"/>
      <c r="AC21" s="15"/>
      <c r="AD21" s="15"/>
      <c r="AE21" s="15"/>
      <c r="AF21" s="15"/>
      <c r="AG21" s="5"/>
    </row>
    <row r="22" spans="2:33" ht="12" customHeight="1" x14ac:dyDescent="0.3">
      <c r="B22" s="4"/>
      <c r="C22" s="307" t="str">
        <f>HLOOKUP(Language!$B$2,Language!$C$12:$H$656,107)</f>
        <v>6.2 Implemented Actions for non detection</v>
      </c>
      <c r="D22" s="307"/>
      <c r="E22" s="307"/>
      <c r="F22" s="307"/>
      <c r="G22" s="307"/>
      <c r="H22" s="307"/>
      <c r="I22" s="307"/>
      <c r="J22" s="307"/>
      <c r="K22" s="307"/>
      <c r="L22" s="307"/>
      <c r="M22" s="307"/>
      <c r="N22" s="307"/>
      <c r="O22" s="307"/>
      <c r="P22" s="307"/>
      <c r="Q22" s="307"/>
      <c r="R22" s="417" t="str">
        <f>HLOOKUP(Language!$B$2,Language!$C$12:$H$656,57)</f>
        <v>Date</v>
      </c>
      <c r="S22" s="417"/>
      <c r="T22" s="417"/>
      <c r="U22" s="417" t="str">
        <f>HLOOKUP(Language!$B$2,Language!$C$12:$H$656,97)</f>
        <v>Responsible</v>
      </c>
      <c r="V22" s="417"/>
      <c r="W22" s="417"/>
      <c r="X22" s="417"/>
      <c r="Y22" s="417"/>
      <c r="Z22" s="417" t="str">
        <f>HLOOKUP(Language!$B$2,Language!$C$12:$H$656,98)</f>
        <v>Implementation date</v>
      </c>
      <c r="AA22" s="417"/>
      <c r="AB22" s="417"/>
      <c r="AC22" s="417"/>
      <c r="AD22" s="285" t="str">
        <f>HLOOKUP(Language!$B$2,Language!$C$12:$H$656,60)</f>
        <v>Status</v>
      </c>
      <c r="AE22" s="285"/>
      <c r="AF22" s="285"/>
      <c r="AG22" s="5"/>
    </row>
    <row r="23" spans="2:33" ht="12" customHeight="1" x14ac:dyDescent="0.3">
      <c r="B23" s="4"/>
      <c r="C23" s="435"/>
      <c r="D23" s="436"/>
      <c r="E23" s="436"/>
      <c r="F23" s="436"/>
      <c r="G23" s="436"/>
      <c r="H23" s="436"/>
      <c r="I23" s="436"/>
      <c r="J23" s="436"/>
      <c r="K23" s="436"/>
      <c r="L23" s="436"/>
      <c r="M23" s="436"/>
      <c r="N23" s="436"/>
      <c r="O23" s="436"/>
      <c r="P23" s="436"/>
      <c r="Q23" s="437"/>
      <c r="R23" s="441"/>
      <c r="S23" s="442"/>
      <c r="T23" s="443"/>
      <c r="U23" s="441"/>
      <c r="V23" s="442"/>
      <c r="W23" s="442"/>
      <c r="X23" s="442"/>
      <c r="Y23" s="443"/>
      <c r="Z23" s="441"/>
      <c r="AA23" s="442"/>
      <c r="AB23" s="442"/>
      <c r="AC23" s="443"/>
      <c r="AD23" s="471">
        <v>0</v>
      </c>
      <c r="AE23" s="472"/>
      <c r="AF23" s="473"/>
      <c r="AG23" s="5"/>
    </row>
    <row r="24" spans="2:33" ht="12" customHeight="1" x14ac:dyDescent="0.3">
      <c r="B24" s="4"/>
      <c r="C24" s="438"/>
      <c r="D24" s="439"/>
      <c r="E24" s="439"/>
      <c r="F24" s="439"/>
      <c r="G24" s="439"/>
      <c r="H24" s="439"/>
      <c r="I24" s="439"/>
      <c r="J24" s="439"/>
      <c r="K24" s="439"/>
      <c r="L24" s="439"/>
      <c r="M24" s="439"/>
      <c r="N24" s="439"/>
      <c r="O24" s="439"/>
      <c r="P24" s="439"/>
      <c r="Q24" s="440"/>
      <c r="R24" s="444"/>
      <c r="S24" s="445"/>
      <c r="T24" s="446"/>
      <c r="U24" s="444"/>
      <c r="V24" s="445"/>
      <c r="W24" s="445"/>
      <c r="X24" s="445"/>
      <c r="Y24" s="446"/>
      <c r="Z24" s="444"/>
      <c r="AA24" s="445"/>
      <c r="AB24" s="445"/>
      <c r="AC24" s="446"/>
      <c r="AD24" s="474"/>
      <c r="AE24" s="475"/>
      <c r="AF24" s="476"/>
      <c r="AG24" s="5"/>
    </row>
    <row r="25" spans="2:33" ht="12" customHeight="1" x14ac:dyDescent="0.3">
      <c r="B25" s="4"/>
      <c r="C25" s="435"/>
      <c r="D25" s="436"/>
      <c r="E25" s="436"/>
      <c r="F25" s="436"/>
      <c r="G25" s="436"/>
      <c r="H25" s="436"/>
      <c r="I25" s="436"/>
      <c r="J25" s="436"/>
      <c r="K25" s="436"/>
      <c r="L25" s="436"/>
      <c r="M25" s="436"/>
      <c r="N25" s="436"/>
      <c r="O25" s="436"/>
      <c r="P25" s="436"/>
      <c r="Q25" s="437"/>
      <c r="R25" s="441"/>
      <c r="S25" s="442"/>
      <c r="T25" s="443"/>
      <c r="U25" s="447"/>
      <c r="V25" s="448"/>
      <c r="W25" s="448"/>
      <c r="X25" s="448"/>
      <c r="Y25" s="449"/>
      <c r="Z25" s="447"/>
      <c r="AA25" s="448"/>
      <c r="AB25" s="448"/>
      <c r="AC25" s="449"/>
      <c r="AD25" s="471">
        <v>1</v>
      </c>
      <c r="AE25" s="472"/>
      <c r="AF25" s="473"/>
      <c r="AG25" s="5"/>
    </row>
    <row r="26" spans="2:33" ht="12" customHeight="1" x14ac:dyDescent="0.3">
      <c r="B26" s="4"/>
      <c r="C26" s="438"/>
      <c r="D26" s="439"/>
      <c r="E26" s="439"/>
      <c r="F26" s="439"/>
      <c r="G26" s="439"/>
      <c r="H26" s="439"/>
      <c r="I26" s="439"/>
      <c r="J26" s="439"/>
      <c r="K26" s="439"/>
      <c r="L26" s="439"/>
      <c r="M26" s="439"/>
      <c r="N26" s="439"/>
      <c r="O26" s="439"/>
      <c r="P26" s="439"/>
      <c r="Q26" s="440"/>
      <c r="R26" s="444"/>
      <c r="S26" s="445"/>
      <c r="T26" s="446"/>
      <c r="U26" s="450"/>
      <c r="V26" s="451"/>
      <c r="W26" s="451"/>
      <c r="X26" s="451"/>
      <c r="Y26" s="452"/>
      <c r="Z26" s="450"/>
      <c r="AA26" s="451"/>
      <c r="AB26" s="451"/>
      <c r="AC26" s="452"/>
      <c r="AD26" s="474"/>
      <c r="AE26" s="475"/>
      <c r="AF26" s="476"/>
      <c r="AG26" s="5"/>
    </row>
    <row r="27" spans="2:33" ht="12" customHeight="1" x14ac:dyDescent="0.3">
      <c r="B27" s="4"/>
      <c r="C27" s="435"/>
      <c r="D27" s="436"/>
      <c r="E27" s="436"/>
      <c r="F27" s="436"/>
      <c r="G27" s="436"/>
      <c r="H27" s="436"/>
      <c r="I27" s="436"/>
      <c r="J27" s="436"/>
      <c r="K27" s="436"/>
      <c r="L27" s="436"/>
      <c r="M27" s="436"/>
      <c r="N27" s="436"/>
      <c r="O27" s="436"/>
      <c r="P27" s="436"/>
      <c r="Q27" s="437"/>
      <c r="R27" s="441"/>
      <c r="S27" s="442"/>
      <c r="T27" s="443"/>
      <c r="U27" s="447"/>
      <c r="V27" s="448"/>
      <c r="W27" s="448"/>
      <c r="X27" s="448"/>
      <c r="Y27" s="449"/>
      <c r="Z27" s="447"/>
      <c r="AA27" s="448"/>
      <c r="AB27" s="448"/>
      <c r="AC27" s="449"/>
      <c r="AD27" s="471">
        <v>2</v>
      </c>
      <c r="AE27" s="472"/>
      <c r="AF27" s="473"/>
      <c r="AG27" s="5"/>
    </row>
    <row r="28" spans="2:33" ht="12" customHeight="1" x14ac:dyDescent="0.3">
      <c r="B28" s="4"/>
      <c r="C28" s="438"/>
      <c r="D28" s="439"/>
      <c r="E28" s="439"/>
      <c r="F28" s="439"/>
      <c r="G28" s="439"/>
      <c r="H28" s="439"/>
      <c r="I28" s="439"/>
      <c r="J28" s="439"/>
      <c r="K28" s="439"/>
      <c r="L28" s="439"/>
      <c r="M28" s="439"/>
      <c r="N28" s="439"/>
      <c r="O28" s="439"/>
      <c r="P28" s="439"/>
      <c r="Q28" s="440"/>
      <c r="R28" s="444"/>
      <c r="S28" s="445"/>
      <c r="T28" s="446"/>
      <c r="U28" s="450"/>
      <c r="V28" s="451"/>
      <c r="W28" s="451"/>
      <c r="X28" s="451"/>
      <c r="Y28" s="452"/>
      <c r="Z28" s="450"/>
      <c r="AA28" s="451"/>
      <c r="AB28" s="451"/>
      <c r="AC28" s="452"/>
      <c r="AD28" s="474"/>
      <c r="AE28" s="475"/>
      <c r="AF28" s="476"/>
      <c r="AG28" s="5"/>
    </row>
    <row r="29" spans="2:33" ht="12" customHeight="1" x14ac:dyDescent="0.3">
      <c r="B29" s="4"/>
      <c r="C29" s="435"/>
      <c r="D29" s="436"/>
      <c r="E29" s="436"/>
      <c r="F29" s="436"/>
      <c r="G29" s="436"/>
      <c r="H29" s="436"/>
      <c r="I29" s="436"/>
      <c r="J29" s="436"/>
      <c r="K29" s="436"/>
      <c r="L29" s="436"/>
      <c r="M29" s="436"/>
      <c r="N29" s="436"/>
      <c r="O29" s="436"/>
      <c r="P29" s="436"/>
      <c r="Q29" s="437"/>
      <c r="R29" s="441"/>
      <c r="S29" s="442"/>
      <c r="T29" s="443"/>
      <c r="U29" s="447"/>
      <c r="V29" s="448"/>
      <c r="W29" s="448"/>
      <c r="X29" s="448"/>
      <c r="Y29" s="449"/>
      <c r="Z29" s="447"/>
      <c r="AA29" s="448"/>
      <c r="AB29" s="448"/>
      <c r="AC29" s="449"/>
      <c r="AD29" s="471">
        <v>3</v>
      </c>
      <c r="AE29" s="472"/>
      <c r="AF29" s="473"/>
      <c r="AG29" s="5"/>
    </row>
    <row r="30" spans="2:33" ht="12" customHeight="1" x14ac:dyDescent="0.3">
      <c r="B30" s="4"/>
      <c r="C30" s="438"/>
      <c r="D30" s="439"/>
      <c r="E30" s="439"/>
      <c r="F30" s="439"/>
      <c r="G30" s="439"/>
      <c r="H30" s="439"/>
      <c r="I30" s="439"/>
      <c r="J30" s="439"/>
      <c r="K30" s="439"/>
      <c r="L30" s="439"/>
      <c r="M30" s="439"/>
      <c r="N30" s="439"/>
      <c r="O30" s="439"/>
      <c r="P30" s="439"/>
      <c r="Q30" s="440"/>
      <c r="R30" s="444"/>
      <c r="S30" s="445"/>
      <c r="T30" s="446"/>
      <c r="U30" s="450"/>
      <c r="V30" s="451"/>
      <c r="W30" s="451"/>
      <c r="X30" s="451"/>
      <c r="Y30" s="452"/>
      <c r="Z30" s="450"/>
      <c r="AA30" s="451"/>
      <c r="AB30" s="451"/>
      <c r="AC30" s="452"/>
      <c r="AD30" s="474"/>
      <c r="AE30" s="475"/>
      <c r="AF30" s="476"/>
      <c r="AG30" s="5"/>
    </row>
    <row r="31" spans="2:33" ht="4.95" customHeight="1" x14ac:dyDescent="0.3">
      <c r="B31" s="4"/>
      <c r="C31" s="6"/>
      <c r="D31" s="6"/>
      <c r="E31" s="6"/>
      <c r="F31" s="6"/>
      <c r="G31" s="6"/>
      <c r="H31" s="17"/>
      <c r="I31" s="379">
        <v>25</v>
      </c>
      <c r="J31" s="379"/>
      <c r="K31" s="6"/>
      <c r="L31" s="6"/>
      <c r="M31" s="6"/>
      <c r="N31" s="6"/>
      <c r="O31" s="6"/>
      <c r="P31" s="379">
        <v>50</v>
      </c>
      <c r="Q31" s="379"/>
      <c r="R31" s="246"/>
      <c r="S31" s="6"/>
      <c r="T31" s="6"/>
      <c r="U31" s="6"/>
      <c r="V31" s="379">
        <v>75</v>
      </c>
      <c r="W31" s="379"/>
      <c r="X31" s="246"/>
      <c r="Y31" s="6"/>
      <c r="Z31" s="6"/>
      <c r="AA31" s="6"/>
      <c r="AB31" s="379">
        <v>100</v>
      </c>
      <c r="AC31" s="379"/>
      <c r="AE31" s="246"/>
      <c r="AF31" s="6"/>
      <c r="AG31" s="5"/>
    </row>
    <row r="32" spans="2:33" ht="12" customHeight="1" x14ac:dyDescent="0.3">
      <c r="B32" s="4"/>
      <c r="C32" s="297" t="str">
        <f>HLOOKUP(Language!$B$2,Language!$C$12:$H$656,61)</f>
        <v>Status:</v>
      </c>
      <c r="D32" s="297"/>
      <c r="F32" s="382" t="str">
        <f>HLOOKUP(Language!$B$2,Language!$C$12:$H$656,62)</f>
        <v>Planned</v>
      </c>
      <c r="G32" s="382"/>
      <c r="H32" s="382"/>
      <c r="I32" s="380"/>
      <c r="J32" s="380"/>
      <c r="K32" s="382" t="str">
        <f>HLOOKUP(Language!$B$2,Language!$C$12:$H$656,63)</f>
        <v>In processing</v>
      </c>
      <c r="L32" s="382"/>
      <c r="M32" s="382"/>
      <c r="N32" s="382"/>
      <c r="O32" s="382"/>
      <c r="P32" s="380"/>
      <c r="Q32" s="380"/>
      <c r="R32" s="247"/>
      <c r="S32" s="272" t="str">
        <f>HLOOKUP(Language!$B$2,Language!$C$12:$H$656,64)</f>
        <v>Closed</v>
      </c>
      <c r="T32" s="272"/>
      <c r="U32" s="272"/>
      <c r="V32" s="380"/>
      <c r="W32" s="380"/>
      <c r="X32" s="247"/>
      <c r="Y32" s="272" t="str">
        <f>HLOOKUP(Language!$B$2,Language!$C$12:$H$656,65)</f>
        <v>Validated</v>
      </c>
      <c r="Z32" s="272"/>
      <c r="AA32" s="272"/>
      <c r="AB32" s="380"/>
      <c r="AC32" s="380"/>
      <c r="AD32" s="247"/>
      <c r="AE32" s="247"/>
      <c r="AF32" s="22"/>
      <c r="AG32" s="5"/>
    </row>
    <row r="33" spans="2:33" ht="4.95" customHeight="1" x14ac:dyDescent="0.3">
      <c r="B33" s="4"/>
      <c r="C33" s="15"/>
      <c r="D33" s="15"/>
      <c r="F33" s="12"/>
      <c r="G33" s="12"/>
      <c r="H33" s="245"/>
      <c r="I33" s="381"/>
      <c r="J33" s="381"/>
      <c r="K33" s="6"/>
      <c r="L33" s="12"/>
      <c r="M33" s="12"/>
      <c r="N33" s="12"/>
      <c r="O33" s="12"/>
      <c r="P33" s="381"/>
      <c r="Q33" s="381"/>
      <c r="R33" s="248"/>
      <c r="S33" s="6"/>
      <c r="T33" s="12"/>
      <c r="U33" s="12"/>
      <c r="V33" s="381"/>
      <c r="W33" s="381"/>
      <c r="X33" s="248"/>
      <c r="Y33" s="6"/>
      <c r="AA33" s="12"/>
      <c r="AB33" s="381"/>
      <c r="AC33" s="381"/>
      <c r="AD33" s="248"/>
      <c r="AE33" s="248"/>
      <c r="AF33" s="22"/>
      <c r="AG33" s="5"/>
    </row>
    <row r="34" spans="2:33" ht="12" customHeight="1" x14ac:dyDescent="0.3">
      <c r="B34" s="4"/>
      <c r="C34" s="366" t="str">
        <f>HLOOKUP(Language!$B$2,Language!$C$12:$H$656,105)</f>
        <v>Specify effectiveness test and method:</v>
      </c>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8"/>
      <c r="AG34" s="5"/>
    </row>
    <row r="35" spans="2:33" ht="10.050000000000001" customHeight="1" x14ac:dyDescent="0.3">
      <c r="B35" s="31"/>
      <c r="C35" s="373"/>
      <c r="D35" s="374"/>
      <c r="E35" s="374"/>
      <c r="F35" s="374"/>
      <c r="G35" s="374"/>
      <c r="H35" s="374"/>
      <c r="I35" s="374"/>
      <c r="J35" s="374"/>
      <c r="K35" s="374"/>
      <c r="L35" s="374"/>
      <c r="M35" s="374"/>
      <c r="N35" s="374"/>
      <c r="O35" s="374"/>
      <c r="P35" s="374"/>
      <c r="Q35" s="374"/>
      <c r="R35" s="374"/>
      <c r="S35" s="374"/>
      <c r="T35" s="374"/>
      <c r="U35" s="374"/>
      <c r="V35" s="374"/>
      <c r="W35" s="374"/>
      <c r="X35" s="374"/>
      <c r="Y35" s="374"/>
      <c r="Z35" s="374"/>
      <c r="AA35" s="374"/>
      <c r="AB35" s="374"/>
      <c r="AC35" s="374"/>
      <c r="AD35" s="374"/>
      <c r="AE35" s="374"/>
      <c r="AF35" s="375"/>
      <c r="AG35" s="32"/>
    </row>
    <row r="36" spans="2:33" ht="10.050000000000001" customHeight="1" x14ac:dyDescent="0.3">
      <c r="B36" s="31"/>
      <c r="C36" s="373"/>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5"/>
      <c r="AG36" s="32"/>
    </row>
    <row r="37" spans="2:33" ht="10.050000000000001" customHeight="1" x14ac:dyDescent="0.3">
      <c r="B37" s="4"/>
      <c r="C37" s="376"/>
      <c r="D37" s="377"/>
      <c r="E37" s="377"/>
      <c r="F37" s="377"/>
      <c r="G37" s="377"/>
      <c r="H37" s="377"/>
      <c r="I37" s="377"/>
      <c r="J37" s="377"/>
      <c r="K37" s="377"/>
      <c r="L37" s="377"/>
      <c r="M37" s="377"/>
      <c r="N37" s="377"/>
      <c r="O37" s="377"/>
      <c r="P37" s="377"/>
      <c r="Q37" s="377"/>
      <c r="R37" s="377"/>
      <c r="S37" s="377"/>
      <c r="T37" s="377"/>
      <c r="U37" s="377"/>
      <c r="V37" s="377"/>
      <c r="W37" s="377"/>
      <c r="X37" s="377"/>
      <c r="Y37" s="377"/>
      <c r="Z37" s="377"/>
      <c r="AA37" s="377"/>
      <c r="AB37" s="377"/>
      <c r="AC37" s="377"/>
      <c r="AD37" s="377"/>
      <c r="AE37" s="377"/>
      <c r="AF37" s="378"/>
      <c r="AG37" s="5"/>
    </row>
    <row r="38" spans="2:33" ht="12" customHeight="1" thickBot="1" x14ac:dyDescent="0.35">
      <c r="B38" s="18"/>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20"/>
    </row>
    <row r="39" spans="2:33" ht="15" customHeight="1" thickBot="1" x14ac:dyDescent="0.35">
      <c r="B39" s="302" t="str">
        <f>HLOOKUP(Language!$B$2,Language!$C$12:$H$656,113)</f>
        <v xml:space="preserve">D7 - Lessons Learned </v>
      </c>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c r="AE39" s="303"/>
      <c r="AF39" s="303"/>
      <c r="AG39" s="304"/>
    </row>
    <row r="40" spans="2:33" ht="12" customHeight="1" x14ac:dyDescent="0.3">
      <c r="B40" s="31"/>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32"/>
    </row>
    <row r="41" spans="2:33" ht="12" customHeight="1" x14ac:dyDescent="0.3">
      <c r="B41" s="4"/>
      <c r="C41" s="307" t="str">
        <f>HLOOKUP(Language!$B$2,Language!$C$12:$H$656,114)</f>
        <v>Implementation Lessons Learned</v>
      </c>
      <c r="D41" s="307"/>
      <c r="E41" s="307"/>
      <c r="F41" s="307"/>
      <c r="G41" s="307"/>
      <c r="H41" s="307"/>
      <c r="I41" s="307"/>
      <c r="J41" s="307"/>
      <c r="K41" s="307"/>
      <c r="L41" s="307"/>
      <c r="M41" s="307"/>
      <c r="N41" s="307"/>
      <c r="O41" s="307"/>
      <c r="P41" s="307"/>
      <c r="Q41" s="307"/>
      <c r="R41" s="307"/>
      <c r="S41" s="307"/>
      <c r="T41" s="307"/>
      <c r="U41" s="285" t="str">
        <f>HLOOKUP(Language!$B$2,Language!$C$12:$H$656,98)</f>
        <v>Implementation date</v>
      </c>
      <c r="V41" s="285"/>
      <c r="W41" s="285"/>
      <c r="X41" s="285"/>
      <c r="Y41" s="285"/>
      <c r="Z41" s="285" t="str">
        <f>HLOOKUP(Language!$B$2,Language!$C$12:$H$656,97)</f>
        <v>Responsible</v>
      </c>
      <c r="AA41" s="285"/>
      <c r="AB41" s="285"/>
      <c r="AC41" s="285"/>
      <c r="AD41" s="285"/>
      <c r="AE41" s="285"/>
      <c r="AF41" s="285"/>
      <c r="AG41" s="5"/>
    </row>
    <row r="42" spans="2:33" ht="10.050000000000001" customHeight="1" x14ac:dyDescent="0.3">
      <c r="B42" s="4"/>
      <c r="C42" s="435"/>
      <c r="D42" s="436"/>
      <c r="E42" s="436"/>
      <c r="F42" s="436"/>
      <c r="G42" s="436"/>
      <c r="H42" s="436"/>
      <c r="I42" s="436"/>
      <c r="J42" s="436"/>
      <c r="K42" s="436"/>
      <c r="L42" s="436"/>
      <c r="M42" s="436"/>
      <c r="N42" s="436"/>
      <c r="O42" s="436"/>
      <c r="P42" s="436"/>
      <c r="Q42" s="436"/>
      <c r="R42" s="436"/>
      <c r="S42" s="436"/>
      <c r="T42" s="437"/>
      <c r="U42" s="464"/>
      <c r="V42" s="465"/>
      <c r="W42" s="465"/>
      <c r="X42" s="465"/>
      <c r="Y42" s="466"/>
      <c r="Z42" s="464"/>
      <c r="AA42" s="465"/>
      <c r="AB42" s="465"/>
      <c r="AC42" s="465"/>
      <c r="AD42" s="465"/>
      <c r="AE42" s="465"/>
      <c r="AF42" s="466"/>
      <c r="AG42" s="5"/>
    </row>
    <row r="43" spans="2:33" ht="10.050000000000001" customHeight="1" x14ac:dyDescent="0.3">
      <c r="B43" s="31"/>
      <c r="C43" s="438"/>
      <c r="D43" s="439"/>
      <c r="E43" s="439"/>
      <c r="F43" s="439"/>
      <c r="G43" s="439"/>
      <c r="H43" s="439"/>
      <c r="I43" s="439"/>
      <c r="J43" s="439"/>
      <c r="K43" s="439"/>
      <c r="L43" s="439"/>
      <c r="M43" s="439"/>
      <c r="N43" s="439"/>
      <c r="O43" s="439"/>
      <c r="P43" s="439"/>
      <c r="Q43" s="439"/>
      <c r="R43" s="439"/>
      <c r="S43" s="439"/>
      <c r="T43" s="440"/>
      <c r="U43" s="467"/>
      <c r="V43" s="468"/>
      <c r="W43" s="468"/>
      <c r="X43" s="468"/>
      <c r="Y43" s="469"/>
      <c r="Z43" s="467"/>
      <c r="AA43" s="468"/>
      <c r="AB43" s="468"/>
      <c r="AC43" s="468"/>
      <c r="AD43" s="468"/>
      <c r="AE43" s="468"/>
      <c r="AF43" s="469"/>
      <c r="AG43" s="32"/>
    </row>
    <row r="44" spans="2:33" ht="10.050000000000001" customHeight="1" x14ac:dyDescent="0.3">
      <c r="B44" s="31"/>
      <c r="C44" s="435"/>
      <c r="D44" s="436"/>
      <c r="E44" s="436"/>
      <c r="F44" s="436"/>
      <c r="G44" s="436"/>
      <c r="H44" s="436"/>
      <c r="I44" s="436"/>
      <c r="J44" s="436"/>
      <c r="K44" s="436"/>
      <c r="L44" s="436"/>
      <c r="M44" s="436"/>
      <c r="N44" s="436"/>
      <c r="O44" s="436"/>
      <c r="P44" s="436"/>
      <c r="Q44" s="436"/>
      <c r="R44" s="436"/>
      <c r="S44" s="436"/>
      <c r="T44" s="437"/>
      <c r="U44" s="464"/>
      <c r="V44" s="465"/>
      <c r="W44" s="465"/>
      <c r="X44" s="465"/>
      <c r="Y44" s="466"/>
      <c r="Z44" s="464"/>
      <c r="AA44" s="465"/>
      <c r="AB44" s="465"/>
      <c r="AC44" s="465"/>
      <c r="AD44" s="465"/>
      <c r="AE44" s="465"/>
      <c r="AF44" s="466"/>
      <c r="AG44" s="32"/>
    </row>
    <row r="45" spans="2:33" ht="10.050000000000001" customHeight="1" x14ac:dyDescent="0.3">
      <c r="B45" s="31"/>
      <c r="C45" s="438"/>
      <c r="D45" s="439"/>
      <c r="E45" s="439"/>
      <c r="F45" s="439"/>
      <c r="G45" s="439"/>
      <c r="H45" s="439"/>
      <c r="I45" s="439"/>
      <c r="J45" s="439"/>
      <c r="K45" s="439"/>
      <c r="L45" s="439"/>
      <c r="M45" s="439"/>
      <c r="N45" s="439"/>
      <c r="O45" s="439"/>
      <c r="P45" s="439"/>
      <c r="Q45" s="439"/>
      <c r="R45" s="439"/>
      <c r="S45" s="439"/>
      <c r="T45" s="440"/>
      <c r="U45" s="467"/>
      <c r="V45" s="468"/>
      <c r="W45" s="468"/>
      <c r="X45" s="468"/>
      <c r="Y45" s="469"/>
      <c r="Z45" s="467"/>
      <c r="AA45" s="468"/>
      <c r="AB45" s="468"/>
      <c r="AC45" s="468"/>
      <c r="AD45" s="468"/>
      <c r="AE45" s="468"/>
      <c r="AF45" s="469"/>
      <c r="AG45" s="32"/>
    </row>
    <row r="46" spans="2:33" ht="10.050000000000001" customHeight="1" x14ac:dyDescent="0.3">
      <c r="B46" s="31"/>
      <c r="C46" s="435"/>
      <c r="D46" s="436"/>
      <c r="E46" s="436"/>
      <c r="F46" s="436"/>
      <c r="G46" s="436"/>
      <c r="H46" s="436"/>
      <c r="I46" s="436"/>
      <c r="J46" s="436"/>
      <c r="K46" s="436"/>
      <c r="L46" s="436"/>
      <c r="M46" s="436"/>
      <c r="N46" s="436"/>
      <c r="O46" s="436"/>
      <c r="P46" s="436"/>
      <c r="Q46" s="436"/>
      <c r="R46" s="436"/>
      <c r="S46" s="436"/>
      <c r="T46" s="437"/>
      <c r="U46" s="464"/>
      <c r="V46" s="465"/>
      <c r="W46" s="465"/>
      <c r="X46" s="465"/>
      <c r="Y46" s="466"/>
      <c r="Z46" s="464"/>
      <c r="AA46" s="465"/>
      <c r="AB46" s="465"/>
      <c r="AC46" s="465"/>
      <c r="AD46" s="465"/>
      <c r="AE46" s="465"/>
      <c r="AF46" s="466"/>
      <c r="AG46" s="32"/>
    </row>
    <row r="47" spans="2:33" ht="10.050000000000001" customHeight="1" x14ac:dyDescent="0.3">
      <c r="B47" s="31"/>
      <c r="C47" s="438"/>
      <c r="D47" s="439"/>
      <c r="E47" s="439"/>
      <c r="F47" s="439"/>
      <c r="G47" s="439"/>
      <c r="H47" s="439"/>
      <c r="I47" s="439"/>
      <c r="J47" s="439"/>
      <c r="K47" s="439"/>
      <c r="L47" s="439"/>
      <c r="M47" s="439"/>
      <c r="N47" s="439"/>
      <c r="O47" s="439"/>
      <c r="P47" s="439"/>
      <c r="Q47" s="439"/>
      <c r="R47" s="439"/>
      <c r="S47" s="439"/>
      <c r="T47" s="440"/>
      <c r="U47" s="467"/>
      <c r="V47" s="468"/>
      <c r="W47" s="468"/>
      <c r="X47" s="468"/>
      <c r="Y47" s="469"/>
      <c r="Z47" s="467"/>
      <c r="AA47" s="468"/>
      <c r="AB47" s="468"/>
      <c r="AC47" s="468"/>
      <c r="AD47" s="468"/>
      <c r="AE47" s="468"/>
      <c r="AF47" s="469"/>
      <c r="AG47" s="32"/>
    </row>
    <row r="48" spans="2:33" ht="10.050000000000001" customHeight="1" x14ac:dyDescent="0.3">
      <c r="B48" s="31"/>
      <c r="C48" s="435"/>
      <c r="D48" s="436"/>
      <c r="E48" s="436"/>
      <c r="F48" s="436"/>
      <c r="G48" s="436"/>
      <c r="H48" s="436"/>
      <c r="I48" s="436"/>
      <c r="J48" s="436"/>
      <c r="K48" s="436"/>
      <c r="L48" s="436"/>
      <c r="M48" s="436"/>
      <c r="N48" s="436"/>
      <c r="O48" s="436"/>
      <c r="P48" s="436"/>
      <c r="Q48" s="436"/>
      <c r="R48" s="436"/>
      <c r="S48" s="436"/>
      <c r="T48" s="437"/>
      <c r="U48" s="464"/>
      <c r="V48" s="465"/>
      <c r="W48" s="465"/>
      <c r="X48" s="465"/>
      <c r="Y48" s="466"/>
      <c r="Z48" s="464"/>
      <c r="AA48" s="465"/>
      <c r="AB48" s="465"/>
      <c r="AC48" s="465"/>
      <c r="AD48" s="465"/>
      <c r="AE48" s="465"/>
      <c r="AF48" s="466"/>
      <c r="AG48" s="32"/>
    </row>
    <row r="49" spans="2:45" ht="10.050000000000001" customHeight="1" x14ac:dyDescent="0.3">
      <c r="B49" s="31"/>
      <c r="C49" s="438"/>
      <c r="D49" s="439"/>
      <c r="E49" s="439"/>
      <c r="F49" s="439"/>
      <c r="G49" s="439"/>
      <c r="H49" s="439"/>
      <c r="I49" s="439"/>
      <c r="J49" s="439"/>
      <c r="K49" s="439"/>
      <c r="L49" s="439"/>
      <c r="M49" s="439"/>
      <c r="N49" s="439"/>
      <c r="O49" s="439"/>
      <c r="P49" s="439"/>
      <c r="Q49" s="439"/>
      <c r="R49" s="439"/>
      <c r="S49" s="439"/>
      <c r="T49" s="440"/>
      <c r="U49" s="467"/>
      <c r="V49" s="468"/>
      <c r="W49" s="468"/>
      <c r="X49" s="468"/>
      <c r="Y49" s="469"/>
      <c r="Z49" s="467"/>
      <c r="AA49" s="468"/>
      <c r="AB49" s="468"/>
      <c r="AC49" s="468"/>
      <c r="AD49" s="468"/>
      <c r="AE49" s="468"/>
      <c r="AF49" s="469"/>
      <c r="AG49" s="32"/>
    </row>
    <row r="50" spans="2:45" ht="12" customHeight="1" x14ac:dyDescent="0.3">
      <c r="B50" s="4"/>
      <c r="C50" s="361"/>
      <c r="D50" s="361"/>
      <c r="E50" s="361"/>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5"/>
    </row>
    <row r="51" spans="2:45" ht="12" customHeight="1" x14ac:dyDescent="0.3">
      <c r="B51" s="4"/>
      <c r="C51" s="430" t="str">
        <f>HLOOKUP(Language!$B$2,Language!$C$12:$H$656,115)</f>
        <v>The following documents have been updated, please enter proof documents in the table "Documents"</v>
      </c>
      <c r="D51" s="430"/>
      <c r="E51" s="430"/>
      <c r="F51" s="430"/>
      <c r="G51" s="430"/>
      <c r="H51" s="430"/>
      <c r="I51" s="430"/>
      <c r="J51" s="430"/>
      <c r="K51" s="430"/>
      <c r="L51" s="430"/>
      <c r="M51" s="430"/>
      <c r="N51" s="430"/>
      <c r="O51" s="430"/>
      <c r="P51" s="430"/>
      <c r="Q51" s="430"/>
      <c r="R51" s="430"/>
      <c r="S51" s="430"/>
      <c r="T51" s="430"/>
      <c r="U51" s="430"/>
      <c r="V51" s="430"/>
      <c r="W51" s="430"/>
      <c r="X51" s="430"/>
      <c r="Y51" s="453" t="s">
        <v>130</v>
      </c>
      <c r="Z51" s="453"/>
      <c r="AA51" s="453"/>
      <c r="AB51" s="453"/>
      <c r="AC51" s="100"/>
      <c r="AD51" s="100"/>
      <c r="AE51" s="100"/>
      <c r="AF51" s="100"/>
      <c r="AG51" s="5"/>
    </row>
    <row r="52" spans="2:45" ht="12" customHeight="1" x14ac:dyDescent="0.3">
      <c r="B52" s="4"/>
      <c r="C52" s="430"/>
      <c r="D52" s="430"/>
      <c r="E52" s="430"/>
      <c r="F52" s="430"/>
      <c r="G52" s="430"/>
      <c r="H52" s="430"/>
      <c r="I52" s="430"/>
      <c r="J52" s="430"/>
      <c r="K52" s="430"/>
      <c r="L52" s="430"/>
      <c r="M52" s="430"/>
      <c r="N52" s="430"/>
      <c r="O52" s="430"/>
      <c r="P52" s="430"/>
      <c r="Q52" s="430"/>
      <c r="R52" s="430"/>
      <c r="S52" s="430"/>
      <c r="T52" s="430"/>
      <c r="U52" s="430"/>
      <c r="V52" s="430"/>
      <c r="W52" s="430"/>
      <c r="X52" s="430"/>
      <c r="Y52" s="12"/>
      <c r="Z52" s="12"/>
      <c r="AA52" s="12"/>
      <c r="AB52" s="12"/>
      <c r="AC52" s="171"/>
      <c r="AD52" s="171"/>
      <c r="AE52" s="171"/>
      <c r="AF52" s="171"/>
      <c r="AG52" s="5"/>
    </row>
    <row r="53" spans="2:45" ht="12" customHeight="1" x14ac:dyDescent="0.3">
      <c r="B53" s="4"/>
      <c r="C53" s="15"/>
      <c r="D53" s="15"/>
      <c r="E53" s="361" t="str">
        <f>HLOOKUP(Language!$B$2,Language!$C$12:$H$656,118)</f>
        <v>Work Instructions</v>
      </c>
      <c r="F53" s="361"/>
      <c r="G53" s="361"/>
      <c r="H53" s="361"/>
      <c r="I53" s="361"/>
      <c r="J53" s="361"/>
      <c r="K53" s="12"/>
      <c r="L53" s="361" t="str">
        <f>HLOOKUP(Language!$B$2,Language!$C$12:$H$656,117)</f>
        <v>Control plan (series inspection)</v>
      </c>
      <c r="M53" s="361"/>
      <c r="N53" s="361"/>
      <c r="O53" s="361"/>
      <c r="P53" s="361"/>
      <c r="Q53" s="470"/>
      <c r="R53" s="165"/>
      <c r="S53" s="361" t="str">
        <f>HLOOKUP(Language!$B$2,Language!$C$12:$H$656,116)</f>
        <v>FMEA checked and updated</v>
      </c>
      <c r="T53" s="361"/>
      <c r="U53" s="361"/>
      <c r="V53" s="361"/>
      <c r="W53" s="361"/>
      <c r="X53" s="361"/>
      <c r="Y53" s="361"/>
      <c r="Z53" s="361"/>
      <c r="AA53" s="361"/>
      <c r="AB53" s="361"/>
      <c r="AC53" s="361"/>
      <c r="AD53" s="361"/>
      <c r="AE53" s="361"/>
      <c r="AF53" s="361"/>
      <c r="AG53" s="5"/>
    </row>
    <row r="54" spans="2:45" ht="12" customHeight="1" x14ac:dyDescent="0.3">
      <c r="B54" s="4"/>
      <c r="C54" s="44"/>
      <c r="D54" s="44"/>
      <c r="E54" s="44"/>
      <c r="F54" s="44"/>
      <c r="G54" s="44"/>
      <c r="H54"/>
      <c r="I54"/>
      <c r="J54"/>
      <c r="K54" s="45"/>
      <c r="L54" s="45"/>
      <c r="M54" s="45"/>
      <c r="N54" s="44"/>
      <c r="O54" s="44"/>
      <c r="P54" s="44"/>
      <c r="Q54" s="44"/>
      <c r="R54" s="166"/>
      <c r="S54" s="45"/>
      <c r="T54" s="45"/>
      <c r="U54" s="45"/>
      <c r="V54" s="45"/>
      <c r="W54" s="45"/>
      <c r="X54" s="45"/>
      <c r="Y54" s="44"/>
      <c r="Z54" s="44"/>
      <c r="AA54" s="44"/>
      <c r="AB54" s="30"/>
      <c r="AC54" s="171"/>
      <c r="AD54" s="171"/>
      <c r="AE54" s="171"/>
      <c r="AF54" s="171"/>
      <c r="AG54" s="5"/>
    </row>
    <row r="55" spans="2:45" ht="12" customHeight="1" x14ac:dyDescent="0.3">
      <c r="B55" s="4"/>
      <c r="C55" s="30"/>
      <c r="D55" s="30"/>
      <c r="E55" s="361" t="str">
        <f>HLOOKUP(Language!$B$2,Language!$C$12:$H$656,121)</f>
        <v>Drawings</v>
      </c>
      <c r="F55" s="361"/>
      <c r="G55" s="361"/>
      <c r="H55" s="361"/>
      <c r="I55" s="361"/>
      <c r="J55" s="361"/>
      <c r="K55" s="12"/>
      <c r="L55" s="361" t="str">
        <f>HLOOKUP(Language!$B$2,Language!$C$12:$H$656,120)</f>
        <v>Maintenance Plan</v>
      </c>
      <c r="M55" s="361"/>
      <c r="N55" s="361"/>
      <c r="O55" s="361"/>
      <c r="P55" s="361"/>
      <c r="Q55" s="470"/>
      <c r="R55" s="167"/>
      <c r="S55" s="361" t="str">
        <f>HLOOKUP(Language!$B$2,Language!$C$12:$H$656,119)</f>
        <v>Control Plan (CP) checked and updated</v>
      </c>
      <c r="T55" s="361"/>
      <c r="U55" s="361"/>
      <c r="V55" s="361"/>
      <c r="W55" s="361"/>
      <c r="X55" s="361"/>
      <c r="Y55" s="361"/>
      <c r="Z55" s="361"/>
      <c r="AA55" s="361"/>
      <c r="AB55" s="361"/>
      <c r="AC55" s="361"/>
      <c r="AD55" s="361"/>
      <c r="AE55" s="361"/>
      <c r="AF55" s="361"/>
      <c r="AG55" s="5"/>
    </row>
    <row r="56" spans="2:45" ht="12" customHeight="1" x14ac:dyDescent="0.3">
      <c r="B56" s="4"/>
      <c r="C56" s="30"/>
      <c r="D56" s="30"/>
      <c r="E56" s="30"/>
      <c r="F56" s="30"/>
      <c r="G56" s="30"/>
      <c r="H56" s="30"/>
      <c r="I56" s="30"/>
      <c r="J56" s="30"/>
      <c r="K56" s="30"/>
      <c r="L56" s="30"/>
      <c r="M56" s="30"/>
      <c r="N56" s="30"/>
      <c r="O56" s="30"/>
      <c r="P56" s="30"/>
      <c r="Q56" s="30"/>
      <c r="R56" s="168"/>
      <c r="S56" s="30"/>
      <c r="T56" s="30"/>
      <c r="U56" s="30"/>
      <c r="V56" s="30"/>
      <c r="W56" s="30"/>
      <c r="X56" s="30"/>
      <c r="Y56" s="30"/>
      <c r="Z56" s="30"/>
      <c r="AA56" s="170"/>
      <c r="AB56" s="30"/>
      <c r="AC56" s="171"/>
      <c r="AD56" s="171"/>
      <c r="AE56" s="171"/>
      <c r="AF56" s="171"/>
      <c r="AG56" s="5"/>
    </row>
    <row r="57" spans="2:45" ht="12" customHeight="1" x14ac:dyDescent="0.3">
      <c r="B57" s="4"/>
      <c r="C57" s="12"/>
      <c r="D57" s="12"/>
      <c r="E57" s="428" t="str">
        <f>HLOOKUP(Language!$B$2,Language!$C$12:$H$656,122)</f>
        <v>Other:</v>
      </c>
      <c r="F57" s="428"/>
      <c r="G57" s="428"/>
      <c r="H57" s="428"/>
      <c r="I57" s="428"/>
      <c r="J57" s="428"/>
      <c r="K57" s="428"/>
      <c r="L57" s="30"/>
      <c r="M57" s="30"/>
      <c r="N57" s="30"/>
      <c r="O57" s="30"/>
      <c r="P57" s="30"/>
      <c r="Q57" s="30"/>
      <c r="R57" s="168"/>
      <c r="S57" s="429" t="str">
        <f>HLOOKUP(Language!$B$2,Language!$C$12:$H$656,123)</f>
        <v>! Duty of proof for updated documents !</v>
      </c>
      <c r="T57" s="429"/>
      <c r="U57" s="429"/>
      <c r="V57" s="429"/>
      <c r="W57" s="429"/>
      <c r="X57" s="429"/>
      <c r="Y57" s="429"/>
      <c r="Z57" s="429"/>
      <c r="AA57" s="429"/>
      <c r="AB57" s="429"/>
      <c r="AC57" s="429"/>
      <c r="AD57" s="429"/>
      <c r="AE57" s="429"/>
      <c r="AF57" s="429"/>
      <c r="AG57" s="5"/>
    </row>
    <row r="58" spans="2:45" ht="12" customHeight="1" x14ac:dyDescent="0.3">
      <c r="B58" s="39"/>
      <c r="C58" s="42"/>
      <c r="D58" s="42"/>
      <c r="E58" s="422"/>
      <c r="F58" s="423"/>
      <c r="G58" s="423"/>
      <c r="H58" s="423"/>
      <c r="I58" s="423"/>
      <c r="J58" s="423"/>
      <c r="K58" s="423"/>
      <c r="L58" s="423"/>
      <c r="M58" s="423"/>
      <c r="N58" s="423"/>
      <c r="O58" s="424"/>
      <c r="P58" s="30"/>
      <c r="Q58" s="30"/>
      <c r="R58" s="168"/>
      <c r="S58" s="429"/>
      <c r="T58" s="429"/>
      <c r="U58" s="429"/>
      <c r="V58" s="429"/>
      <c r="W58" s="429"/>
      <c r="X58" s="429"/>
      <c r="Y58" s="429"/>
      <c r="Z58" s="429"/>
      <c r="AA58" s="429"/>
      <c r="AB58" s="429"/>
      <c r="AC58" s="429"/>
      <c r="AD58" s="429"/>
      <c r="AE58" s="429"/>
      <c r="AF58" s="429"/>
      <c r="AG58" s="49"/>
    </row>
    <row r="59" spans="2:45" ht="12" customHeight="1" x14ac:dyDescent="0.3">
      <c r="B59" s="39"/>
      <c r="C59" s="37"/>
      <c r="D59" s="37"/>
      <c r="E59" s="425"/>
      <c r="F59" s="426"/>
      <c r="G59" s="426"/>
      <c r="H59" s="426"/>
      <c r="I59" s="426"/>
      <c r="J59" s="426"/>
      <c r="K59" s="426"/>
      <c r="L59" s="426"/>
      <c r="M59" s="426"/>
      <c r="N59" s="426"/>
      <c r="O59" s="427"/>
      <c r="P59" s="37"/>
      <c r="Q59" s="37"/>
      <c r="R59" s="169"/>
      <c r="S59" s="429"/>
      <c r="T59" s="429"/>
      <c r="U59" s="429"/>
      <c r="V59" s="429"/>
      <c r="W59" s="429"/>
      <c r="X59" s="429"/>
      <c r="Y59" s="429"/>
      <c r="Z59" s="429"/>
      <c r="AA59" s="429"/>
      <c r="AB59" s="429"/>
      <c r="AC59" s="429"/>
      <c r="AD59" s="429"/>
      <c r="AE59" s="429"/>
      <c r="AF59" s="429"/>
      <c r="AG59" s="49"/>
    </row>
    <row r="60" spans="2:45" ht="12" customHeight="1" thickBot="1" x14ac:dyDescent="0.35">
      <c r="B60" s="50"/>
      <c r="C60" s="37"/>
      <c r="D60" s="37"/>
      <c r="E60" s="37"/>
      <c r="F60" s="37"/>
      <c r="G60" s="37"/>
      <c r="H60" s="37"/>
      <c r="I60" s="37"/>
      <c r="J60" s="37"/>
      <c r="K60" s="37"/>
      <c r="L60" s="37"/>
      <c r="M60" s="37"/>
      <c r="N60" s="37"/>
      <c r="O60" s="37"/>
      <c r="P60" s="37"/>
      <c r="Q60" s="37"/>
      <c r="R60" s="169"/>
      <c r="S60" s="37"/>
      <c r="T60" s="37"/>
      <c r="U60" s="37"/>
      <c r="V60" s="37"/>
      <c r="W60" s="37"/>
      <c r="X60" s="37"/>
      <c r="Y60" s="37"/>
      <c r="Z60" s="37"/>
      <c r="AA60" s="37"/>
      <c r="AB60" s="37"/>
      <c r="AC60" s="171"/>
      <c r="AD60" s="171"/>
      <c r="AE60" s="171"/>
      <c r="AF60" s="171"/>
      <c r="AG60" s="51"/>
    </row>
    <row r="61" spans="2:45" ht="15" customHeight="1" thickBot="1" x14ac:dyDescent="0.35">
      <c r="B61" s="302" t="str">
        <f>HLOOKUP(Language!$B$2,Language!$C$12:$H$656,124)</f>
        <v>First delivery after validation of the corrective actions (Breakpoint Delivery)</v>
      </c>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c r="AE61" s="303"/>
      <c r="AF61" s="303"/>
      <c r="AG61" s="304"/>
      <c r="AR61" s="72"/>
      <c r="AS61"/>
    </row>
    <row r="62" spans="2:45" ht="12" customHeight="1" x14ac:dyDescent="0.3">
      <c r="B62" s="172"/>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4"/>
      <c r="AR62" s="72"/>
      <c r="AS62"/>
    </row>
    <row r="63" spans="2:45" ht="12" customHeight="1" x14ac:dyDescent="0.3">
      <c r="B63" s="4"/>
      <c r="C63" s="266" t="s">
        <v>617</v>
      </c>
      <c r="D63" s="266"/>
      <c r="E63" s="266"/>
      <c r="F63" s="266"/>
      <c r="G63" s="266"/>
      <c r="H63" s="266"/>
      <c r="I63" s="266"/>
      <c r="J63" s="267"/>
      <c r="K63" s="284" t="str">
        <f>HLOOKUP(Language!$B$2,Language!$C$12:$H$656,59)</f>
        <v>Responsible</v>
      </c>
      <c r="L63" s="284"/>
      <c r="M63" s="284"/>
      <c r="N63" s="284"/>
      <c r="O63" s="285" t="str">
        <f>HLOOKUP(Language!$B$2,Language!$C$12:$H$656,69)</f>
        <v xml:space="preserve">Delivery date/CW
</v>
      </c>
      <c r="P63" s="285"/>
      <c r="Q63" s="285"/>
      <c r="R63" s="285"/>
      <c r="S63" s="286" t="str">
        <f>HLOOKUP(Language!$B$2,Language!$C$12:$H$656,71)</f>
        <v>Delivery note number</v>
      </c>
      <c r="T63" s="287"/>
      <c r="U63" s="287"/>
      <c r="V63" s="287"/>
      <c r="W63" s="287"/>
      <c r="X63" s="287"/>
      <c r="Y63" s="287"/>
      <c r="Z63" s="288"/>
      <c r="AA63" s="286" t="str">
        <f>HLOOKUP(Language!$B$2,Language!$C$12:$H$656,70)</f>
        <v>Remarks</v>
      </c>
      <c r="AB63" s="287"/>
      <c r="AC63" s="287"/>
      <c r="AD63" s="287"/>
      <c r="AE63" s="287"/>
      <c r="AF63" s="288"/>
      <c r="AG63" s="5"/>
      <c r="AR63" s="72"/>
      <c r="AS63"/>
    </row>
    <row r="64" spans="2:45" ht="12" customHeight="1" x14ac:dyDescent="0.3">
      <c r="B64" s="4"/>
      <c r="C64" s="289" t="str">
        <f>HLOOKUP(Language!$B$2,Language!$C$12:$H$656,67)</f>
        <v>Labeling with the Elektra Label</v>
      </c>
      <c r="D64" s="290"/>
      <c r="E64" s="290"/>
      <c r="F64" s="290"/>
      <c r="G64" s="290"/>
      <c r="H64" s="290"/>
      <c r="I64" s="290"/>
      <c r="J64" s="291"/>
      <c r="K64" s="292"/>
      <c r="L64" s="292"/>
      <c r="M64" s="292"/>
      <c r="N64" s="292"/>
      <c r="O64" s="293"/>
      <c r="P64" s="293"/>
      <c r="Q64" s="293"/>
      <c r="R64" s="293"/>
      <c r="S64" s="294"/>
      <c r="T64" s="295"/>
      <c r="U64" s="295"/>
      <c r="V64" s="295"/>
      <c r="W64" s="295"/>
      <c r="X64" s="295"/>
      <c r="Y64" s="295"/>
      <c r="Z64" s="296"/>
      <c r="AA64" s="294"/>
      <c r="AB64" s="295"/>
      <c r="AC64" s="295"/>
      <c r="AD64" s="295"/>
      <c r="AE64" s="295"/>
      <c r="AF64" s="296"/>
      <c r="AG64" s="5"/>
      <c r="AR64" s="72"/>
      <c r="AS64"/>
    </row>
    <row r="65" spans="2:36" ht="12" customHeight="1" thickBot="1" x14ac:dyDescent="0.35">
      <c r="B65" s="52"/>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4"/>
    </row>
    <row r="66" spans="2:36" ht="15" customHeight="1" thickBot="1" x14ac:dyDescent="0.35">
      <c r="B66" s="302" t="str">
        <f>HLOOKUP(Language!$B$2,Language!$C$12:$H$656,129)</f>
        <v>D8 - Completion</v>
      </c>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4"/>
    </row>
    <row r="67" spans="2:36" ht="12" customHeight="1" x14ac:dyDescent="0.3">
      <c r="B67" s="55"/>
      <c r="C67" s="48"/>
      <c r="D67" s="48"/>
      <c r="E67" s="48"/>
      <c r="F67" s="48"/>
      <c r="G67" s="48"/>
      <c r="H67" s="48"/>
      <c r="I67" s="48"/>
      <c r="J67" s="48"/>
      <c r="K67" s="48"/>
      <c r="L67" s="48"/>
      <c r="M67" s="48"/>
      <c r="N67" s="48"/>
      <c r="O67" s="48"/>
      <c r="P67" s="48"/>
      <c r="Q67" s="48"/>
      <c r="R67" s="48"/>
      <c r="S67" s="48"/>
      <c r="T67" s="58"/>
      <c r="U67" s="385"/>
      <c r="V67" s="385"/>
      <c r="W67" s="385"/>
      <c r="X67" s="385"/>
      <c r="Y67" s="385"/>
      <c r="Z67" s="385"/>
      <c r="AA67" s="385"/>
      <c r="AB67" s="385"/>
      <c r="AC67" s="385"/>
      <c r="AD67" s="385"/>
      <c r="AE67" s="58"/>
      <c r="AF67" s="58"/>
      <c r="AG67" s="57"/>
      <c r="AJ67" s="187"/>
    </row>
    <row r="68" spans="2:36" ht="12" customHeight="1" x14ac:dyDescent="0.3">
      <c r="B68" s="55"/>
      <c r="D68" s="15"/>
      <c r="F68" s="15" t="str">
        <f>HLOOKUP(Language!$B$2,Language!$C$12:$H$656,131)</f>
        <v>Status 8D supplier</v>
      </c>
      <c r="G68" s="15"/>
      <c r="H68" s="15"/>
      <c r="I68" s="15"/>
      <c r="J68" s="15"/>
      <c r="K68" s="15"/>
      <c r="M68" s="12" t="str">
        <f>HLOOKUP(Language!$B$2,Language!$C$12:$H$656,132)</f>
        <v>suggested for closure</v>
      </c>
      <c r="N68" s="15"/>
      <c r="O68" s="15"/>
      <c r="P68" s="15"/>
      <c r="Q68" s="15"/>
      <c r="R68" s="15"/>
      <c r="S68" s="15"/>
      <c r="T68" s="454"/>
      <c r="U68" s="455"/>
      <c r="V68" s="455"/>
      <c r="W68" s="455"/>
      <c r="X68" s="455"/>
      <c r="Y68" s="455"/>
      <c r="Z68" s="455"/>
      <c r="AA68" s="455"/>
      <c r="AB68" s="455"/>
      <c r="AC68" s="456"/>
      <c r="AD68" s="60"/>
      <c r="AE68" s="60"/>
      <c r="AF68" s="60"/>
      <c r="AG68" s="57"/>
    </row>
    <row r="69" spans="2:36" ht="12" customHeight="1" x14ac:dyDescent="0.3">
      <c r="B69" s="55"/>
      <c r="C69" s="43"/>
      <c r="D69" s="43"/>
      <c r="E69" s="43"/>
      <c r="F69" s="43"/>
      <c r="G69" s="43"/>
      <c r="H69" s="43"/>
      <c r="I69" s="43"/>
      <c r="J69" s="43"/>
      <c r="K69" s="43"/>
      <c r="L69" s="43"/>
      <c r="M69" s="43"/>
      <c r="N69" s="43"/>
      <c r="O69" s="43"/>
      <c r="P69" s="43"/>
      <c r="Q69" s="43"/>
      <c r="R69" s="43"/>
      <c r="S69" s="43"/>
      <c r="T69" s="457"/>
      <c r="U69" s="458"/>
      <c r="V69" s="458"/>
      <c r="W69" s="458"/>
      <c r="X69" s="458"/>
      <c r="Y69" s="458"/>
      <c r="Z69" s="458"/>
      <c r="AA69" s="458"/>
      <c r="AB69" s="458"/>
      <c r="AC69" s="459"/>
      <c r="AD69" s="43"/>
      <c r="AE69" s="43"/>
      <c r="AF69" s="43"/>
      <c r="AG69" s="57"/>
    </row>
    <row r="70" spans="2:36" ht="12" customHeight="1" x14ac:dyDescent="0.3">
      <c r="B70" s="55"/>
      <c r="C70" s="43"/>
      <c r="D70" s="43"/>
      <c r="E70" s="43"/>
      <c r="F70" s="43"/>
      <c r="G70" s="43"/>
      <c r="H70" s="43"/>
      <c r="I70" s="43"/>
      <c r="J70" s="43"/>
      <c r="K70" s="43"/>
      <c r="L70" s="43"/>
      <c r="M70" s="43"/>
      <c r="N70" s="43"/>
      <c r="O70" s="43"/>
      <c r="P70" s="43"/>
      <c r="Q70" s="43"/>
      <c r="R70" s="43"/>
      <c r="S70" s="43"/>
      <c r="T70" s="460"/>
      <c r="U70" s="461"/>
      <c r="V70" s="461"/>
      <c r="W70" s="461"/>
      <c r="X70" s="461"/>
      <c r="Y70" s="461"/>
      <c r="Z70" s="461"/>
      <c r="AA70" s="461"/>
      <c r="AB70" s="461"/>
      <c r="AC70" s="462"/>
      <c r="AD70" s="43"/>
      <c r="AE70" s="43"/>
      <c r="AF70" s="43"/>
      <c r="AG70" s="57"/>
    </row>
    <row r="71" spans="2:36" ht="12" customHeight="1" x14ac:dyDescent="0.3">
      <c r="B71" s="55"/>
      <c r="C71" s="43"/>
      <c r="D71" s="43"/>
      <c r="E71" s="43"/>
      <c r="F71" s="43"/>
      <c r="G71" s="43"/>
      <c r="H71" s="43"/>
      <c r="I71" s="43"/>
      <c r="J71" s="43"/>
      <c r="K71" s="43"/>
      <c r="L71" s="43"/>
      <c r="M71" s="43"/>
      <c r="N71" s="12"/>
      <c r="O71" s="43"/>
      <c r="P71" s="43"/>
      <c r="Q71" s="43"/>
      <c r="R71" s="43"/>
      <c r="S71" s="43"/>
      <c r="T71" s="431" t="str">
        <f>HLOOKUP(Language!$B$2,Language!$C$12:$H$656,130)</f>
        <v>Date / Signature (Supplier)</v>
      </c>
      <c r="U71" s="431"/>
      <c r="V71" s="431"/>
      <c r="W71" s="431"/>
      <c r="X71" s="431"/>
      <c r="Y71" s="431"/>
      <c r="Z71" s="431"/>
      <c r="AA71" s="431"/>
      <c r="AB71" s="431"/>
      <c r="AC71" s="431"/>
      <c r="AD71" s="43"/>
      <c r="AE71" s="43"/>
      <c r="AF71" s="43"/>
      <c r="AG71" s="57"/>
    </row>
    <row r="72" spans="2:36" ht="6" customHeight="1" x14ac:dyDescent="0.3">
      <c r="B72" s="55"/>
      <c r="C72" s="59"/>
      <c r="D72" s="59"/>
      <c r="E72" s="59"/>
      <c r="F72" s="59"/>
      <c r="G72" s="59"/>
      <c r="H72" s="59"/>
      <c r="I72" s="59"/>
      <c r="J72" s="59"/>
      <c r="K72" s="59"/>
      <c r="L72" s="60"/>
      <c r="M72" s="48"/>
      <c r="N72" s="48"/>
      <c r="O72" s="48"/>
      <c r="P72" s="48"/>
      <c r="Q72" s="48"/>
      <c r="R72" s="48"/>
      <c r="S72" s="48"/>
      <c r="T72" s="48"/>
      <c r="U72" s="48"/>
      <c r="V72" s="48"/>
      <c r="W72" s="48"/>
      <c r="X72" s="48"/>
      <c r="Y72" s="48"/>
      <c r="Z72" s="48"/>
      <c r="AA72" s="48"/>
      <c r="AB72" s="48"/>
      <c r="AC72" s="59"/>
      <c r="AD72" s="59"/>
      <c r="AE72" s="59"/>
      <c r="AF72" s="59"/>
      <c r="AG72" s="57"/>
    </row>
    <row r="73" spans="2:36" ht="12" customHeight="1" x14ac:dyDescent="0.3">
      <c r="B73" s="50"/>
      <c r="C73" s="289" t="str">
        <f>HLOOKUP(Language!$B$2,Language!$C$12:$H$656,133)</f>
        <v>Comments / Notes</v>
      </c>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1"/>
      <c r="AG73" s="51"/>
    </row>
    <row r="74" spans="2:36" ht="12" customHeight="1" x14ac:dyDescent="0.3">
      <c r="B74" s="50"/>
      <c r="C74" s="432" t="s">
        <v>367</v>
      </c>
      <c r="D74" s="433"/>
      <c r="E74" s="433"/>
      <c r="F74" s="433"/>
      <c r="G74" s="433"/>
      <c r="H74" s="433"/>
      <c r="I74" s="433"/>
      <c r="J74" s="433"/>
      <c r="K74" s="433"/>
      <c r="L74" s="433"/>
      <c r="M74" s="433"/>
      <c r="N74" s="433"/>
      <c r="O74" s="433"/>
      <c r="P74" s="433"/>
      <c r="Q74" s="433"/>
      <c r="R74" s="433"/>
      <c r="S74" s="433"/>
      <c r="T74" s="433"/>
      <c r="U74" s="433"/>
      <c r="V74" s="433"/>
      <c r="W74" s="433"/>
      <c r="X74" s="433"/>
      <c r="Y74" s="433"/>
      <c r="Z74" s="433"/>
      <c r="AA74" s="433"/>
      <c r="AB74" s="433"/>
      <c r="AC74" s="433"/>
      <c r="AD74" s="433"/>
      <c r="AE74" s="433"/>
      <c r="AF74" s="434"/>
      <c r="AG74" s="51"/>
    </row>
    <row r="75" spans="2:36" ht="12" customHeight="1" x14ac:dyDescent="0.3">
      <c r="B75" s="50"/>
      <c r="C75" s="373"/>
      <c r="D75" s="374"/>
      <c r="E75" s="374"/>
      <c r="F75" s="374"/>
      <c r="G75" s="374"/>
      <c r="H75" s="374"/>
      <c r="I75" s="374"/>
      <c r="J75" s="374"/>
      <c r="K75" s="374"/>
      <c r="L75" s="374"/>
      <c r="M75" s="374"/>
      <c r="N75" s="374"/>
      <c r="O75" s="374"/>
      <c r="P75" s="374"/>
      <c r="Q75" s="374"/>
      <c r="R75" s="374"/>
      <c r="S75" s="374"/>
      <c r="T75" s="374"/>
      <c r="U75" s="374"/>
      <c r="V75" s="374"/>
      <c r="W75" s="374"/>
      <c r="X75" s="374"/>
      <c r="Y75" s="374"/>
      <c r="Z75" s="374"/>
      <c r="AA75" s="374"/>
      <c r="AB75" s="374"/>
      <c r="AC75" s="374"/>
      <c r="AD75" s="374"/>
      <c r="AE75" s="374"/>
      <c r="AF75" s="375"/>
      <c r="AG75" s="51"/>
    </row>
    <row r="76" spans="2:36" ht="12" customHeight="1" x14ac:dyDescent="0.3">
      <c r="B76" s="50"/>
      <c r="C76" s="373"/>
      <c r="D76" s="374"/>
      <c r="E76" s="374"/>
      <c r="F76" s="374"/>
      <c r="G76" s="374"/>
      <c r="H76" s="374"/>
      <c r="I76" s="374"/>
      <c r="J76" s="374"/>
      <c r="K76" s="374"/>
      <c r="L76" s="374"/>
      <c r="M76" s="374"/>
      <c r="N76" s="374"/>
      <c r="O76" s="374"/>
      <c r="P76" s="374"/>
      <c r="Q76" s="374"/>
      <c r="R76" s="374"/>
      <c r="S76" s="374"/>
      <c r="T76" s="374"/>
      <c r="U76" s="374"/>
      <c r="V76" s="374"/>
      <c r="W76" s="374"/>
      <c r="X76" s="374"/>
      <c r="Y76" s="374"/>
      <c r="Z76" s="374"/>
      <c r="AA76" s="374"/>
      <c r="AB76" s="374"/>
      <c r="AC76" s="374"/>
      <c r="AD76" s="374"/>
      <c r="AE76" s="374"/>
      <c r="AF76" s="375"/>
      <c r="AG76" s="51"/>
    </row>
    <row r="77" spans="2:36" ht="12" customHeight="1" x14ac:dyDescent="0.3">
      <c r="B77" s="50"/>
      <c r="C77" s="373"/>
      <c r="D77" s="374"/>
      <c r="E77" s="374"/>
      <c r="F77" s="374"/>
      <c r="G77" s="374"/>
      <c r="H77" s="374"/>
      <c r="I77" s="374"/>
      <c r="J77" s="374"/>
      <c r="K77" s="374"/>
      <c r="L77" s="374"/>
      <c r="M77" s="374"/>
      <c r="N77" s="374"/>
      <c r="O77" s="374"/>
      <c r="P77" s="374"/>
      <c r="Q77" s="374"/>
      <c r="R77" s="374"/>
      <c r="S77" s="374"/>
      <c r="T77" s="374"/>
      <c r="U77" s="374"/>
      <c r="V77" s="374"/>
      <c r="W77" s="374"/>
      <c r="X77" s="374"/>
      <c r="Y77" s="374"/>
      <c r="Z77" s="374"/>
      <c r="AA77" s="374"/>
      <c r="AB77" s="374"/>
      <c r="AC77" s="374"/>
      <c r="AD77" s="374"/>
      <c r="AE77" s="374"/>
      <c r="AF77" s="375"/>
      <c r="AG77" s="51"/>
    </row>
    <row r="78" spans="2:36" ht="12" customHeight="1" x14ac:dyDescent="0.3">
      <c r="B78" s="50"/>
      <c r="C78" s="373"/>
      <c r="D78" s="374"/>
      <c r="E78" s="374"/>
      <c r="F78" s="374"/>
      <c r="G78" s="374"/>
      <c r="H78" s="374"/>
      <c r="I78" s="374"/>
      <c r="J78" s="374"/>
      <c r="K78" s="374"/>
      <c r="L78" s="374"/>
      <c r="M78" s="374"/>
      <c r="N78" s="374"/>
      <c r="O78" s="374"/>
      <c r="P78" s="374"/>
      <c r="Q78" s="374"/>
      <c r="R78" s="374"/>
      <c r="S78" s="374"/>
      <c r="T78" s="374"/>
      <c r="U78" s="374"/>
      <c r="V78" s="374"/>
      <c r="W78" s="374"/>
      <c r="X78" s="374"/>
      <c r="Y78" s="374"/>
      <c r="Z78" s="374"/>
      <c r="AA78" s="374"/>
      <c r="AB78" s="374"/>
      <c r="AC78" s="374"/>
      <c r="AD78" s="374"/>
      <c r="AE78" s="374"/>
      <c r="AF78" s="375"/>
      <c r="AG78" s="51"/>
    </row>
    <row r="79" spans="2:36" ht="12" customHeight="1" x14ac:dyDescent="0.3">
      <c r="B79" s="50"/>
      <c r="C79" s="373"/>
      <c r="D79" s="374"/>
      <c r="E79" s="374"/>
      <c r="F79" s="374"/>
      <c r="G79" s="374"/>
      <c r="H79" s="374"/>
      <c r="I79" s="374"/>
      <c r="J79" s="374"/>
      <c r="K79" s="374"/>
      <c r="L79" s="374"/>
      <c r="M79" s="374"/>
      <c r="N79" s="374"/>
      <c r="O79" s="374"/>
      <c r="P79" s="374"/>
      <c r="Q79" s="374"/>
      <c r="R79" s="374"/>
      <c r="S79" s="374"/>
      <c r="T79" s="374"/>
      <c r="U79" s="374"/>
      <c r="V79" s="374"/>
      <c r="W79" s="374"/>
      <c r="X79" s="374"/>
      <c r="Y79" s="374"/>
      <c r="Z79" s="374"/>
      <c r="AA79" s="374"/>
      <c r="AB79" s="374"/>
      <c r="AC79" s="374"/>
      <c r="AD79" s="374"/>
      <c r="AE79" s="374"/>
      <c r="AF79" s="375"/>
      <c r="AG79" s="51"/>
    </row>
    <row r="80" spans="2:36" ht="6" customHeight="1" x14ac:dyDescent="0.3">
      <c r="B80" s="50"/>
      <c r="C80" s="376"/>
      <c r="D80" s="377"/>
      <c r="E80" s="377"/>
      <c r="F80" s="377"/>
      <c r="G80" s="377"/>
      <c r="H80" s="377"/>
      <c r="I80" s="377"/>
      <c r="J80" s="377"/>
      <c r="K80" s="377"/>
      <c r="L80" s="377"/>
      <c r="M80" s="377"/>
      <c r="N80" s="377"/>
      <c r="O80" s="377"/>
      <c r="P80" s="377"/>
      <c r="Q80" s="377"/>
      <c r="R80" s="377"/>
      <c r="S80" s="377"/>
      <c r="T80" s="377"/>
      <c r="U80" s="377"/>
      <c r="V80" s="377"/>
      <c r="W80" s="377"/>
      <c r="X80" s="377"/>
      <c r="Y80" s="377"/>
      <c r="Z80" s="377"/>
      <c r="AA80" s="377"/>
      <c r="AB80" s="377"/>
      <c r="AC80" s="377"/>
      <c r="AD80" s="377"/>
      <c r="AE80" s="377"/>
      <c r="AF80" s="378"/>
      <c r="AG80" s="51"/>
    </row>
    <row r="81" spans="2:33" ht="12" customHeight="1" thickBot="1" x14ac:dyDescent="0.35">
      <c r="B81" s="144"/>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6"/>
    </row>
    <row r="82" spans="2:33" ht="12" customHeight="1" x14ac:dyDescent="0.3">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row>
    <row r="83" spans="2:33" ht="12" customHeight="1" x14ac:dyDescent="0.3">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row>
    <row r="84" spans="2:33" ht="12" customHeight="1" x14ac:dyDescent="0.3">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row>
    <row r="85" spans="2:33" ht="12" customHeight="1" x14ac:dyDescent="0.3">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row>
    <row r="86" spans="2:33" ht="12" customHeight="1" x14ac:dyDescent="0.3">
      <c r="B86" s="6"/>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6"/>
    </row>
    <row r="87" spans="2:33" ht="12" customHeight="1" x14ac:dyDescent="0.3">
      <c r="B87" s="6"/>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6"/>
    </row>
    <row r="88" spans="2:33" ht="12" customHeight="1" x14ac:dyDescent="0.3">
      <c r="B88" s="6"/>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6"/>
    </row>
    <row r="89" spans="2:33" ht="12" customHeight="1" x14ac:dyDescent="0.3">
      <c r="B89" s="6"/>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6"/>
    </row>
    <row r="90" spans="2:33" ht="12" customHeight="1" x14ac:dyDescent="0.3">
      <c r="B90" s="6"/>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6"/>
    </row>
    <row r="91" spans="2:33" ht="12" customHeight="1" x14ac:dyDescent="0.3">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row>
    <row r="92" spans="2:33" ht="12" customHeight="1" x14ac:dyDescent="0.3">
      <c r="B92" s="6"/>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6"/>
    </row>
    <row r="93" spans="2:33" ht="12" customHeight="1" x14ac:dyDescent="0.3">
      <c r="B93" s="6"/>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6"/>
    </row>
    <row r="94" spans="2:33" ht="12" customHeight="1" x14ac:dyDescent="0.3">
      <c r="B94" s="6"/>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6"/>
    </row>
    <row r="95" spans="2:33" ht="12" customHeight="1" x14ac:dyDescent="0.3">
      <c r="B95" s="6"/>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6"/>
    </row>
    <row r="96" spans="2:33" ht="12" customHeight="1" x14ac:dyDescent="0.3">
      <c r="B96" s="6"/>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6"/>
    </row>
    <row r="97" spans="2:33" ht="12" customHeight="1" x14ac:dyDescent="0.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row>
    <row r="98" spans="2:33" ht="12" customHeight="1" x14ac:dyDescent="0.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row>
    <row r="99" spans="2:33" ht="12" customHeight="1" x14ac:dyDescent="0.3">
      <c r="B99" s="6"/>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6"/>
    </row>
    <row r="100" spans="2:33" ht="12" customHeight="1" x14ac:dyDescent="0.3">
      <c r="B100" s="6"/>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6"/>
    </row>
    <row r="101" spans="2:33" ht="12" customHeight="1" x14ac:dyDescent="0.3">
      <c r="B101" s="6"/>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6"/>
    </row>
    <row r="102" spans="2:33" ht="12" customHeight="1" x14ac:dyDescent="0.3">
      <c r="B102" s="6"/>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6"/>
    </row>
    <row r="103" spans="2:33" ht="12" customHeight="1" x14ac:dyDescent="0.3">
      <c r="B103" s="6"/>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22"/>
      <c r="AE103" s="22"/>
      <c r="AF103" s="22"/>
      <c r="AG103" s="6"/>
    </row>
    <row r="104" spans="2:33" ht="12" customHeight="1" x14ac:dyDescent="0.3">
      <c r="B104" s="6"/>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6"/>
    </row>
    <row r="105" spans="2:33" ht="12" customHeight="1" x14ac:dyDescent="0.3">
      <c r="B105" s="6"/>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6"/>
    </row>
    <row r="106" spans="2:33" ht="12" customHeight="1" x14ac:dyDescent="0.3">
      <c r="B106" s="6"/>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6"/>
    </row>
    <row r="107" spans="2:33" ht="12" customHeight="1" x14ac:dyDescent="0.3">
      <c r="B107" s="6"/>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6"/>
    </row>
    <row r="108" spans="2:33" ht="12" customHeight="1" x14ac:dyDescent="0.3">
      <c r="B108" s="6"/>
      <c r="C108" s="15"/>
      <c r="D108" s="15"/>
      <c r="F108" s="12"/>
      <c r="G108" s="12"/>
      <c r="H108" s="6"/>
      <c r="I108" s="6"/>
      <c r="J108" s="6"/>
      <c r="K108" s="6"/>
      <c r="L108" s="12"/>
      <c r="M108" s="12"/>
      <c r="N108" s="12"/>
      <c r="O108" s="12"/>
      <c r="P108" s="22"/>
      <c r="Q108" s="6"/>
      <c r="R108" s="6"/>
      <c r="S108" s="6"/>
      <c r="T108" s="12"/>
      <c r="U108" s="12"/>
      <c r="V108" s="12"/>
      <c r="W108" s="22"/>
      <c r="X108" s="22"/>
      <c r="Y108" s="6"/>
      <c r="AA108" s="12"/>
      <c r="AB108" s="12"/>
      <c r="AC108" s="12"/>
      <c r="AD108" s="22"/>
      <c r="AE108" s="22"/>
      <c r="AF108" s="22"/>
      <c r="AG108" s="6"/>
    </row>
    <row r="109" spans="2:33" ht="12" customHeight="1" x14ac:dyDescent="0.3">
      <c r="B109" s="6"/>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6"/>
    </row>
    <row r="110" spans="2:33" ht="12" customHeight="1" x14ac:dyDescent="0.3">
      <c r="B110" s="23"/>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23"/>
    </row>
    <row r="111" spans="2:33" ht="12" customHeight="1" x14ac:dyDescent="0.3">
      <c r="B111" s="23"/>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23"/>
    </row>
    <row r="112" spans="2:33" ht="12" customHeight="1" x14ac:dyDescent="0.3">
      <c r="S112" s="6"/>
    </row>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sheetData>
  <sheetProtection algorithmName="SHA-512" hashValue="9Qw7UmtdBEngYwn+p+5CG+DuphqULf8EJDi4lsYn70Uqg8HhAe8Ubsbf9J2AVgpMLCBANBZVYpXEK2cUAnuG3A==" saltValue="kqPKIn+je/yWHkXG15cFXg==" spinCount="100000" sheet="1" formatCells="0" selectLockedCells="1"/>
  <mergeCells count="136">
    <mergeCell ref="AD13:AF14"/>
    <mergeCell ref="AD15:AF16"/>
    <mergeCell ref="AD17:AF18"/>
    <mergeCell ref="AD19:AF20"/>
    <mergeCell ref="AD23:AF24"/>
    <mergeCell ref="AD25:AF26"/>
    <mergeCell ref="AD27:AF28"/>
    <mergeCell ref="AD29:AF30"/>
    <mergeCell ref="P31:Q33"/>
    <mergeCell ref="R15:T16"/>
    <mergeCell ref="U15:Y16"/>
    <mergeCell ref="Z15:AC16"/>
    <mergeCell ref="AD22:AF22"/>
    <mergeCell ref="R23:T24"/>
    <mergeCell ref="U23:Y24"/>
    <mergeCell ref="Z23:AC24"/>
    <mergeCell ref="C23:Q24"/>
    <mergeCell ref="U27:Y28"/>
    <mergeCell ref="Z27:AC28"/>
    <mergeCell ref="C13:Q14"/>
    <mergeCell ref="R13:T14"/>
    <mergeCell ref="U13:Y14"/>
    <mergeCell ref="Z13:AC14"/>
    <mergeCell ref="C15:Q16"/>
    <mergeCell ref="AB31:AC33"/>
    <mergeCell ref="E53:J53"/>
    <mergeCell ref="E55:J55"/>
    <mergeCell ref="L53:Q53"/>
    <mergeCell ref="L55:Q55"/>
    <mergeCell ref="U48:Y49"/>
    <mergeCell ref="Z48:AF49"/>
    <mergeCell ref="C34:AF34"/>
    <mergeCell ref="C35:AF37"/>
    <mergeCell ref="C42:T43"/>
    <mergeCell ref="C44:T45"/>
    <mergeCell ref="C46:T47"/>
    <mergeCell ref="U42:Y43"/>
    <mergeCell ref="U46:Y47"/>
    <mergeCell ref="Z42:AF43"/>
    <mergeCell ref="Z44:AF45"/>
    <mergeCell ref="Z46:AF47"/>
    <mergeCell ref="B39:AG39"/>
    <mergeCell ref="Z41:AF41"/>
    <mergeCell ref="T68:AC70"/>
    <mergeCell ref="C17:Q18"/>
    <mergeCell ref="R17:T18"/>
    <mergeCell ref="U17:Y18"/>
    <mergeCell ref="Z17:AC18"/>
    <mergeCell ref="C19:Q20"/>
    <mergeCell ref="R19:T20"/>
    <mergeCell ref="U19:Y20"/>
    <mergeCell ref="Z19:AC20"/>
    <mergeCell ref="U44:Y45"/>
    <mergeCell ref="C22:Q22"/>
    <mergeCell ref="R22:T22"/>
    <mergeCell ref="C25:Q26"/>
    <mergeCell ref="R25:T26"/>
    <mergeCell ref="U25:Y26"/>
    <mergeCell ref="Z25:AC26"/>
    <mergeCell ref="U22:Y22"/>
    <mergeCell ref="Z22:AC22"/>
    <mergeCell ref="F32:H32"/>
    <mergeCell ref="I31:J33"/>
    <mergeCell ref="K32:O32"/>
    <mergeCell ref="S32:U32"/>
    <mergeCell ref="V31:W33"/>
    <mergeCell ref="Y32:AA32"/>
    <mergeCell ref="AI6:AK8"/>
    <mergeCell ref="C7:G7"/>
    <mergeCell ref="H7:Q7"/>
    <mergeCell ref="R7:V7"/>
    <mergeCell ref="W7:AF7"/>
    <mergeCell ref="C12:Q12"/>
    <mergeCell ref="R12:T12"/>
    <mergeCell ref="U12:Y12"/>
    <mergeCell ref="Z12:AC12"/>
    <mergeCell ref="AD12:AF12"/>
    <mergeCell ref="AI11:AK12"/>
    <mergeCell ref="B5:F5"/>
    <mergeCell ref="G5:L5"/>
    <mergeCell ref="M5:S5"/>
    <mergeCell ref="T5:Y5"/>
    <mergeCell ref="AI2:AJ3"/>
    <mergeCell ref="B3:F3"/>
    <mergeCell ref="G3:S3"/>
    <mergeCell ref="B1:Y2"/>
    <mergeCell ref="B4:F4"/>
    <mergeCell ref="G4:L4"/>
    <mergeCell ref="M4:S4"/>
    <mergeCell ref="T4:Y4"/>
    <mergeCell ref="T3:V3"/>
    <mergeCell ref="W3:Y3"/>
    <mergeCell ref="Z1:AG3"/>
    <mergeCell ref="AA4:AD5"/>
    <mergeCell ref="AE4:AF5"/>
    <mergeCell ref="T71:AC71"/>
    <mergeCell ref="C73:AF73"/>
    <mergeCell ref="C74:AF80"/>
    <mergeCell ref="U67:AD67"/>
    <mergeCell ref="C8:G8"/>
    <mergeCell ref="H8:Q8"/>
    <mergeCell ref="R8:V8"/>
    <mergeCell ref="W8:AF8"/>
    <mergeCell ref="B10:AG10"/>
    <mergeCell ref="C41:T41"/>
    <mergeCell ref="U41:Y41"/>
    <mergeCell ref="C29:Q30"/>
    <mergeCell ref="R29:T30"/>
    <mergeCell ref="U29:Y30"/>
    <mergeCell ref="Z29:AC30"/>
    <mergeCell ref="C32:D32"/>
    <mergeCell ref="C27:Q28"/>
    <mergeCell ref="R27:T28"/>
    <mergeCell ref="C50:T50"/>
    <mergeCell ref="U50:Y50"/>
    <mergeCell ref="Z50:AF50"/>
    <mergeCell ref="B66:AG66"/>
    <mergeCell ref="Y51:AB51"/>
    <mergeCell ref="C48:T49"/>
    <mergeCell ref="E58:O59"/>
    <mergeCell ref="E57:K57"/>
    <mergeCell ref="S55:AF55"/>
    <mergeCell ref="S53:AF53"/>
    <mergeCell ref="S57:AF59"/>
    <mergeCell ref="C51:X52"/>
    <mergeCell ref="S64:Z64"/>
    <mergeCell ref="B61:AG61"/>
    <mergeCell ref="AA63:AF63"/>
    <mergeCell ref="AA64:AF64"/>
    <mergeCell ref="C64:J64"/>
    <mergeCell ref="K63:N63"/>
    <mergeCell ref="K64:N64"/>
    <mergeCell ref="O63:R63"/>
    <mergeCell ref="O64:R64"/>
    <mergeCell ref="S63:Z63"/>
    <mergeCell ref="C63:J63"/>
  </mergeCells>
  <conditionalFormatting sqref="C13">
    <cfRule type="cellIs" dxfId="121" priority="39" operator="equal">
      <formula>""</formula>
    </cfRule>
  </conditionalFormatting>
  <conditionalFormatting sqref="C23">
    <cfRule type="cellIs" dxfId="120" priority="38" operator="equal">
      <formula>""</formula>
    </cfRule>
  </conditionalFormatting>
  <conditionalFormatting sqref="C42 U42 Z42">
    <cfRule type="cellIs" dxfId="119" priority="55" operator="equal">
      <formula>""</formula>
    </cfRule>
  </conditionalFormatting>
  <conditionalFormatting sqref="C34:AF34">
    <cfRule type="expression" dxfId="118" priority="182">
      <formula>$C$93=""</formula>
    </cfRule>
    <cfRule type="expression" dxfId="117" priority="181">
      <formula>(ISBLANK($C$35)=FALSE)</formula>
    </cfRule>
  </conditionalFormatting>
  <conditionalFormatting sqref="C35:AF37">
    <cfRule type="cellIs" dxfId="116" priority="44" operator="equal">
      <formula>""</formula>
    </cfRule>
  </conditionalFormatting>
  <conditionalFormatting sqref="E58">
    <cfRule type="expression" dxfId="115" priority="180">
      <formula>$AR$4=TRUE</formula>
    </cfRule>
    <cfRule type="expression" dxfId="114" priority="179">
      <formula>(ISBLANK($E$58)=FALSE)</formula>
    </cfRule>
  </conditionalFormatting>
  <conditionalFormatting sqref="G4:L4">
    <cfRule type="cellIs" dxfId="113" priority="9" operator="equal">
      <formula>""</formula>
    </cfRule>
  </conditionalFormatting>
  <conditionalFormatting sqref="G3:S3">
    <cfRule type="cellIs" dxfId="112" priority="10" operator="equal">
      <formula>""</formula>
    </cfRule>
  </conditionalFormatting>
  <conditionalFormatting sqref="H7:Q8 W7:AF8">
    <cfRule type="cellIs" dxfId="111" priority="12" operator="equal">
      <formula>""</formula>
    </cfRule>
  </conditionalFormatting>
  <conditionalFormatting sqref="I31:J33">
    <cfRule type="iconSet" priority="4">
      <iconSet iconSet="5Quarters" showValue="0">
        <cfvo type="percent" val="0"/>
        <cfvo type="num" val="25"/>
        <cfvo type="num" val="50"/>
        <cfvo type="num" val="75"/>
        <cfvo type="num" val="100"/>
      </iconSet>
    </cfRule>
  </conditionalFormatting>
  <conditionalFormatting sqref="M68">
    <cfRule type="expression" dxfId="110" priority="21">
      <formula>$AR$16=TRUE</formula>
    </cfRule>
    <cfRule type="expression" dxfId="109" priority="20">
      <formula>$AR$16=FALSE</formula>
    </cfRule>
  </conditionalFormatting>
  <conditionalFormatting sqref="N71">
    <cfRule type="expression" dxfId="108" priority="24">
      <formula>$AR$17=TRUE</formula>
    </cfRule>
    <cfRule type="expression" dxfId="107" priority="25">
      <formula>$AR$16=TRUE</formula>
    </cfRule>
  </conditionalFormatting>
  <conditionalFormatting sqref="O64 S64">
    <cfRule type="cellIs" dxfId="106" priority="7" operator="equal">
      <formula>""</formula>
    </cfRule>
  </conditionalFormatting>
  <conditionalFormatting sqref="P31 R31:R33">
    <cfRule type="iconSet" priority="3">
      <iconSet iconSet="5Quarters" showValue="0">
        <cfvo type="percent" val="0"/>
        <cfvo type="num" val="25"/>
        <cfvo type="num" val="50"/>
        <cfvo type="num" val="75"/>
        <cfvo type="num" val="100"/>
      </iconSet>
    </cfRule>
  </conditionalFormatting>
  <conditionalFormatting sqref="R13">
    <cfRule type="cellIs" dxfId="105" priority="34" operator="equal">
      <formula>""</formula>
    </cfRule>
  </conditionalFormatting>
  <conditionalFormatting sqref="R23">
    <cfRule type="cellIs" dxfId="104" priority="37" operator="equal">
      <formula>""</formula>
    </cfRule>
  </conditionalFormatting>
  <conditionalFormatting sqref="S57">
    <cfRule type="expression" dxfId="103" priority="16">
      <formula>$AR$19=TRUE</formula>
    </cfRule>
    <cfRule type="expression" dxfId="102" priority="14">
      <formula>$AR$21=TRUE</formula>
    </cfRule>
  </conditionalFormatting>
  <conditionalFormatting sqref="T68">
    <cfRule type="cellIs" dxfId="101" priority="19" operator="equal">
      <formula>""</formula>
    </cfRule>
  </conditionalFormatting>
  <conditionalFormatting sqref="T4:Y5 G5">
    <cfRule type="cellIs" dxfId="100" priority="13" operator="equal">
      <formula>""</formula>
    </cfRule>
  </conditionalFormatting>
  <conditionalFormatting sqref="U13">
    <cfRule type="cellIs" dxfId="99" priority="33" operator="equal">
      <formula>""</formula>
    </cfRule>
  </conditionalFormatting>
  <conditionalFormatting sqref="U23">
    <cfRule type="cellIs" dxfId="98" priority="36" operator="equal">
      <formula>""</formula>
    </cfRule>
  </conditionalFormatting>
  <conditionalFormatting sqref="V31 X31:X33">
    <cfRule type="iconSet" priority="2">
      <iconSet iconSet="5Quarters" showValue="0">
        <cfvo type="percent" val="0"/>
        <cfvo type="num" val="25"/>
        <cfvo type="num" val="50"/>
        <cfvo type="num" val="75"/>
        <cfvo type="num" val="100"/>
      </iconSet>
    </cfRule>
  </conditionalFormatting>
  <conditionalFormatting sqref="W3:Y3">
    <cfRule type="cellIs" dxfId="97" priority="11" operator="equal">
      <formula>""</formula>
    </cfRule>
  </conditionalFormatting>
  <conditionalFormatting sqref="Z13">
    <cfRule type="cellIs" dxfId="96" priority="32" operator="equal">
      <formula>""</formula>
    </cfRule>
  </conditionalFormatting>
  <conditionalFormatting sqref="Z23">
    <cfRule type="cellIs" dxfId="95" priority="35" operator="equal">
      <formula>""</formula>
    </cfRule>
  </conditionalFormatting>
  <conditionalFormatting sqref="AB31 AD32:AE33 AE31">
    <cfRule type="iconSet" priority="1">
      <iconSet iconSet="5Quarters" showValue="0">
        <cfvo type="percent" val="0"/>
        <cfvo type="num" val="25"/>
        <cfvo type="num" val="50"/>
        <cfvo type="num" val="75"/>
        <cfvo type="num" val="100"/>
      </iconSet>
    </cfRule>
  </conditionalFormatting>
  <conditionalFormatting sqref="AD13:AF20">
    <cfRule type="iconSet" priority="6">
      <iconSet iconSet="5Quarters" showValue="0">
        <cfvo type="percent" val="0"/>
        <cfvo type="num" val="25"/>
        <cfvo type="num" val="50"/>
        <cfvo type="num" val="75"/>
        <cfvo type="num" val="100"/>
      </iconSet>
    </cfRule>
  </conditionalFormatting>
  <conditionalFormatting sqref="AD23:AF30">
    <cfRule type="iconSet" priority="5">
      <iconSet iconSet="5Quarters" showValue="0">
        <cfvo type="percent" val="0"/>
        <cfvo type="num" val="25"/>
        <cfvo type="num" val="50"/>
        <cfvo type="num" val="75"/>
        <cfvo type="num" val="100"/>
      </iconSet>
    </cfRule>
  </conditionalFormatting>
  <dataValidations count="1">
    <dataValidation type="list" allowBlank="1" showInputMessage="1" showErrorMessage="1" sqref="AD9:AF9" xr:uid="{0CBFA2B8-1DFF-4D85-B607-8E6243C430FA}">
      <formula1>#REF!</formula1>
    </dataValidation>
  </dataValidations>
  <hyperlinks>
    <hyperlink ref="Y51:AB51" location="Documents!A1" display="Documents" xr:uid="{E5C3CFA7-741D-4D5F-9D2C-83AFCF19C826}"/>
    <hyperlink ref="AJ9" location="Notice!A1" display="Notice" xr:uid="{F7F59FF4-369D-48EA-A890-5ED498E427A3}"/>
    <hyperlink ref="C63:J63" r:id="rId1" display="Elektra Label" xr:uid="{F37ADA11-F328-41C3-92C8-E6E4CB91B1D4}"/>
  </hyperlinks>
  <pageMargins left="0.31496062992125984" right="0.31496062992125984" top="0.31496062992125984" bottom="0.31496062992125984" header="0" footer="0"/>
  <pageSetup paperSize="9" scale="82" orientation="portrait" r:id="rId2"/>
  <headerFooter scaleWithDoc="0" alignWithMargins="0"/>
  <ignoredErrors>
    <ignoredError sqref="K54:S54 R53 R55"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4101" r:id="rId5" name="Check Box 5">
              <controlPr defaultSize="0" autoFill="0" autoLine="0" autoPict="0">
                <anchor moveWithCells="1">
                  <from>
                    <xdr:col>10</xdr:col>
                    <xdr:colOff>45720</xdr:colOff>
                    <xdr:row>51</xdr:row>
                    <xdr:rowOff>137160</xdr:rowOff>
                  </from>
                  <to>
                    <xdr:col>11</xdr:col>
                    <xdr:colOff>15240</xdr:colOff>
                    <xdr:row>53</xdr:row>
                    <xdr:rowOff>15240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3</xdr:col>
                    <xdr:colOff>60960</xdr:colOff>
                    <xdr:row>53</xdr:row>
                    <xdr:rowOff>129540</xdr:rowOff>
                  </from>
                  <to>
                    <xdr:col>4</xdr:col>
                    <xdr:colOff>22860</xdr:colOff>
                    <xdr:row>55</xdr:row>
                    <xdr:rowOff>22860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3</xdr:col>
                    <xdr:colOff>38100</xdr:colOff>
                    <xdr:row>51</xdr:row>
                    <xdr:rowOff>137160</xdr:rowOff>
                  </from>
                  <to>
                    <xdr:col>3</xdr:col>
                    <xdr:colOff>228600</xdr:colOff>
                    <xdr:row>53</xdr:row>
                    <xdr:rowOff>22860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10</xdr:col>
                    <xdr:colOff>45720</xdr:colOff>
                    <xdr:row>53</xdr:row>
                    <xdr:rowOff>129540</xdr:rowOff>
                  </from>
                  <to>
                    <xdr:col>11</xdr:col>
                    <xdr:colOff>15240</xdr:colOff>
                    <xdr:row>54</xdr:row>
                    <xdr:rowOff>137160</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3</xdr:col>
                    <xdr:colOff>60960</xdr:colOff>
                    <xdr:row>55</xdr:row>
                    <xdr:rowOff>121920</xdr:rowOff>
                  </from>
                  <to>
                    <xdr:col>4</xdr:col>
                    <xdr:colOff>15240</xdr:colOff>
                    <xdr:row>57</xdr:row>
                    <xdr:rowOff>15240</xdr:rowOff>
                  </to>
                </anchor>
              </controlPr>
            </control>
          </mc:Choice>
        </mc:AlternateContent>
        <mc:AlternateContent xmlns:mc="http://schemas.openxmlformats.org/markup-compatibility/2006">
          <mc:Choice Requires="x14">
            <control shapeId="4108" r:id="rId10" name="Check Box 12">
              <controlPr defaultSize="0" autoFill="0" autoLine="0" autoPict="0">
                <anchor moveWithCells="1">
                  <from>
                    <xdr:col>11</xdr:col>
                    <xdr:colOff>53340</xdr:colOff>
                    <xdr:row>66</xdr:row>
                    <xdr:rowOff>129540</xdr:rowOff>
                  </from>
                  <to>
                    <xdr:col>12</xdr:col>
                    <xdr:colOff>30480</xdr:colOff>
                    <xdr:row>68</xdr:row>
                    <xdr:rowOff>15240</xdr:rowOff>
                  </to>
                </anchor>
              </controlPr>
            </control>
          </mc:Choice>
        </mc:AlternateContent>
        <mc:AlternateContent xmlns:mc="http://schemas.openxmlformats.org/markup-compatibility/2006">
          <mc:Choice Requires="x14">
            <control shapeId="4109" r:id="rId11" name="Check Box 13">
              <controlPr defaultSize="0" autoFill="0" autoLine="0" autoPict="0">
                <anchor moveWithCells="1">
                  <from>
                    <xdr:col>17</xdr:col>
                    <xdr:colOff>15240</xdr:colOff>
                    <xdr:row>53</xdr:row>
                    <xdr:rowOff>121920</xdr:rowOff>
                  </from>
                  <to>
                    <xdr:col>17</xdr:col>
                    <xdr:colOff>213360</xdr:colOff>
                    <xdr:row>55</xdr:row>
                    <xdr:rowOff>7620</xdr:rowOff>
                  </to>
                </anchor>
              </controlPr>
            </control>
          </mc:Choice>
        </mc:AlternateContent>
        <mc:AlternateContent xmlns:mc="http://schemas.openxmlformats.org/markup-compatibility/2006">
          <mc:Choice Requires="x14">
            <control shapeId="4111" r:id="rId12" name="Check Box 15">
              <controlPr defaultSize="0" autoFill="0" autoLine="0" autoPict="0">
                <anchor moveWithCells="1">
                  <from>
                    <xdr:col>17</xdr:col>
                    <xdr:colOff>22860</xdr:colOff>
                    <xdr:row>51</xdr:row>
                    <xdr:rowOff>114300</xdr:rowOff>
                  </from>
                  <to>
                    <xdr:col>18</xdr:col>
                    <xdr:colOff>0</xdr:colOff>
                    <xdr:row>53</xdr:row>
                    <xdr:rowOff>15240</xdr:rowOff>
                  </to>
                </anchor>
              </controlPr>
            </control>
          </mc:Choice>
        </mc:AlternateContent>
        <mc:AlternateContent xmlns:mc="http://schemas.openxmlformats.org/markup-compatibility/2006">
          <mc:Choice Requires="x14">
            <control shapeId="4113" r:id="rId13" name="Drop Down 17">
              <controlPr defaultSize="0" print="0" autoLine="0" autoPict="0">
                <anchor moveWithCells="1">
                  <from>
                    <xdr:col>35</xdr:col>
                    <xdr:colOff>518160</xdr:colOff>
                    <xdr:row>10</xdr:row>
                    <xdr:rowOff>7620</xdr:rowOff>
                  </from>
                  <to>
                    <xdr:col>36</xdr:col>
                    <xdr:colOff>777240</xdr:colOff>
                    <xdr:row>11</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F863300-660F-4072-A257-E5D87CB40AD1}">
          <x14:formula1>
            <xm:f>Data!$B$83:$B$87</xm:f>
          </x14:formula1>
          <xm:sqref>AD13:AF20 AD23:AF30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78E6-0334-4D42-84B1-165D64606DDD}">
  <sheetPr codeName="Tabelle3">
    <tabColor theme="5" tint="0.79998168889431442"/>
  </sheetPr>
  <dimension ref="A1:EJ145"/>
  <sheetViews>
    <sheetView showGridLines="0" view="pageBreakPreview" topLeftCell="A18" zoomScale="70" zoomScaleNormal="130" zoomScaleSheetLayoutView="70" zoomScalePageLayoutView="55" workbookViewId="0">
      <selection activeCell="H82" sqref="H82:Y82"/>
    </sheetView>
  </sheetViews>
  <sheetFormatPr baseColWidth="10" defaultColWidth="6.5546875" defaultRowHeight="14.4" x14ac:dyDescent="0.3"/>
  <cols>
    <col min="1" max="17" width="3.33203125" style="7" customWidth="1"/>
    <col min="18" max="18" width="4.77734375" style="7" customWidth="1"/>
    <col min="19" max="32" width="3.33203125" style="7" customWidth="1"/>
    <col min="33" max="42" width="3.33203125" customWidth="1"/>
    <col min="43" max="43" width="3.33203125" style="72" customWidth="1"/>
    <col min="44" max="49" width="3.33203125" customWidth="1"/>
    <col min="50" max="50" width="4.77734375" customWidth="1"/>
    <col min="51" max="81" width="3.33203125" customWidth="1"/>
    <col min="82" max="82" width="4.77734375" customWidth="1"/>
    <col min="83" max="113" width="3.33203125" customWidth="1"/>
    <col min="114" max="114" width="4.77734375" customWidth="1"/>
    <col min="115" max="137" width="3.33203125" customWidth="1"/>
    <col min="138" max="140" width="3.33203125" hidden="1" customWidth="1"/>
    <col min="141" max="165" width="3.33203125" customWidth="1"/>
  </cols>
  <sheetData>
    <row r="1" spans="1:140" ht="12" customHeight="1" x14ac:dyDescent="0.3">
      <c r="A1" s="333" t="str">
        <f>HLOOKUP(Language!$B$2,Language!$C$12:$H$656,139)</f>
        <v>Verification document</v>
      </c>
      <c r="B1" s="334"/>
      <c r="C1" s="334"/>
      <c r="D1" s="334"/>
      <c r="E1" s="334"/>
      <c r="F1" s="334"/>
      <c r="G1" s="334"/>
      <c r="H1" s="334"/>
      <c r="I1" s="334"/>
      <c r="J1" s="334"/>
      <c r="K1" s="334"/>
      <c r="L1" s="334"/>
      <c r="M1" s="334"/>
      <c r="N1" s="334"/>
      <c r="O1" s="334"/>
      <c r="P1" s="334"/>
      <c r="Q1" s="334"/>
      <c r="R1" s="334"/>
      <c r="S1" s="334"/>
      <c r="T1" s="334"/>
      <c r="U1" s="334"/>
      <c r="V1" s="334"/>
      <c r="W1" s="334"/>
      <c r="X1" s="334"/>
      <c r="Y1" s="268" t="e" vm="1">
        <v>#VALUE!</v>
      </c>
      <c r="Z1" s="269"/>
      <c r="AA1" s="269"/>
      <c r="AB1" s="269"/>
      <c r="AC1" s="269"/>
      <c r="AD1" s="269"/>
      <c r="AE1" s="269"/>
      <c r="AF1" s="270"/>
      <c r="AG1" s="333" t="str">
        <f>HLOOKUP(Language!$B$2,Language!$C$12:$H$656,139)</f>
        <v>Verification document</v>
      </c>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268" t="e" vm="1">
        <v>#VALUE!</v>
      </c>
      <c r="BF1" s="269"/>
      <c r="BG1" s="269"/>
      <c r="BH1" s="269"/>
      <c r="BI1" s="269"/>
      <c r="BJ1" s="269"/>
      <c r="BK1" s="269"/>
      <c r="BL1" s="270"/>
      <c r="BM1" s="333" t="str">
        <f>HLOOKUP(Language!$B$2,Language!$C$12:$H$656,139)</f>
        <v>Verification document</v>
      </c>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268" t="e" vm="1">
        <v>#VALUE!</v>
      </c>
      <c r="CL1" s="269"/>
      <c r="CM1" s="269"/>
      <c r="CN1" s="269"/>
      <c r="CO1" s="269"/>
      <c r="CP1" s="269"/>
      <c r="CQ1" s="269"/>
      <c r="CR1" s="270"/>
      <c r="CS1" s="333" t="str">
        <f>HLOOKUP(Language!$B$2,Language!$C$12:$H$656,139)</f>
        <v>Verification document</v>
      </c>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268" t="e" vm="1">
        <v>#VALUE!</v>
      </c>
      <c r="DR1" s="269"/>
      <c r="DS1" s="269"/>
      <c r="DT1" s="269"/>
      <c r="DU1" s="269"/>
      <c r="DV1" s="269"/>
      <c r="DW1" s="269"/>
      <c r="DX1" s="270"/>
    </row>
    <row r="2" spans="1:140" ht="12" customHeight="1" x14ac:dyDescent="0.3">
      <c r="A2" s="335"/>
      <c r="B2" s="336"/>
      <c r="C2" s="336"/>
      <c r="D2" s="336"/>
      <c r="E2" s="336"/>
      <c r="F2" s="336"/>
      <c r="G2" s="336"/>
      <c r="H2" s="336"/>
      <c r="I2" s="336"/>
      <c r="J2" s="336"/>
      <c r="K2" s="336"/>
      <c r="L2" s="336"/>
      <c r="M2" s="336"/>
      <c r="N2" s="336"/>
      <c r="O2" s="336"/>
      <c r="P2" s="336"/>
      <c r="Q2" s="336"/>
      <c r="R2" s="336"/>
      <c r="S2" s="336"/>
      <c r="T2" s="336"/>
      <c r="U2" s="336"/>
      <c r="V2" s="336"/>
      <c r="W2" s="336"/>
      <c r="X2" s="336"/>
      <c r="Y2" s="271"/>
      <c r="Z2" s="272"/>
      <c r="AA2" s="272"/>
      <c r="AB2" s="272"/>
      <c r="AC2" s="272"/>
      <c r="AD2" s="272"/>
      <c r="AE2" s="272"/>
      <c r="AF2" s="273"/>
      <c r="AG2" s="335"/>
      <c r="AH2" s="336"/>
      <c r="AI2" s="336"/>
      <c r="AJ2" s="336"/>
      <c r="AK2" s="336"/>
      <c r="AL2" s="336"/>
      <c r="AM2" s="336"/>
      <c r="AN2" s="336"/>
      <c r="AO2" s="336"/>
      <c r="AP2" s="336"/>
      <c r="AQ2" s="336"/>
      <c r="AR2" s="336"/>
      <c r="AS2" s="336"/>
      <c r="AT2" s="336"/>
      <c r="AU2" s="336"/>
      <c r="AV2" s="336"/>
      <c r="AW2" s="336"/>
      <c r="AX2" s="336"/>
      <c r="AY2" s="336"/>
      <c r="AZ2" s="336"/>
      <c r="BA2" s="336"/>
      <c r="BB2" s="336"/>
      <c r="BC2" s="336"/>
      <c r="BD2" s="336"/>
      <c r="BE2" s="271"/>
      <c r="BF2" s="272"/>
      <c r="BG2" s="272"/>
      <c r="BH2" s="272"/>
      <c r="BI2" s="272"/>
      <c r="BJ2" s="272"/>
      <c r="BK2" s="272"/>
      <c r="BL2" s="273"/>
      <c r="BM2" s="335"/>
      <c r="BN2" s="336"/>
      <c r="BO2" s="336"/>
      <c r="BP2" s="336"/>
      <c r="BQ2" s="336"/>
      <c r="BR2" s="336"/>
      <c r="BS2" s="336"/>
      <c r="BT2" s="336"/>
      <c r="BU2" s="336"/>
      <c r="BV2" s="336"/>
      <c r="BW2" s="336"/>
      <c r="BX2" s="336"/>
      <c r="BY2" s="336"/>
      <c r="BZ2" s="336"/>
      <c r="CA2" s="336"/>
      <c r="CB2" s="336"/>
      <c r="CC2" s="336"/>
      <c r="CD2" s="336"/>
      <c r="CE2" s="336"/>
      <c r="CF2" s="336"/>
      <c r="CG2" s="336"/>
      <c r="CH2" s="336"/>
      <c r="CI2" s="336"/>
      <c r="CJ2" s="336"/>
      <c r="CK2" s="271"/>
      <c r="CL2" s="272"/>
      <c r="CM2" s="272"/>
      <c r="CN2" s="272"/>
      <c r="CO2" s="272"/>
      <c r="CP2" s="272"/>
      <c r="CQ2" s="272"/>
      <c r="CR2" s="273"/>
      <c r="CS2" s="335"/>
      <c r="CT2" s="336"/>
      <c r="CU2" s="336"/>
      <c r="CV2" s="336"/>
      <c r="CW2" s="336"/>
      <c r="CX2" s="336"/>
      <c r="CY2" s="336"/>
      <c r="CZ2" s="336"/>
      <c r="DA2" s="336"/>
      <c r="DB2" s="336"/>
      <c r="DC2" s="336"/>
      <c r="DD2" s="336"/>
      <c r="DE2" s="336"/>
      <c r="DF2" s="336"/>
      <c r="DG2" s="336"/>
      <c r="DH2" s="336"/>
      <c r="DI2" s="336"/>
      <c r="DJ2" s="336"/>
      <c r="DK2" s="336"/>
      <c r="DL2" s="336"/>
      <c r="DM2" s="336"/>
      <c r="DN2" s="336"/>
      <c r="DO2" s="336"/>
      <c r="DP2" s="336"/>
      <c r="DQ2" s="271"/>
      <c r="DR2" s="272"/>
      <c r="DS2" s="272"/>
      <c r="DT2" s="272"/>
      <c r="DU2" s="272"/>
      <c r="DV2" s="272"/>
      <c r="DW2" s="272"/>
      <c r="DX2" s="273"/>
    </row>
    <row r="3" spans="1:140" ht="31.05" customHeight="1" x14ac:dyDescent="0.3">
      <c r="A3" s="337" t="str">
        <f>HLOOKUP(Language!$B$2,Language!$C$12:$H$656,8)</f>
        <v>Contact Person (Customer):</v>
      </c>
      <c r="B3" s="338"/>
      <c r="C3" s="338"/>
      <c r="D3" s="338"/>
      <c r="E3" s="339"/>
      <c r="F3" s="338" t="str">
        <f>IF('D1-D3'!$G$3="","",'D1-D3'!$G$3)</f>
        <v/>
      </c>
      <c r="G3" s="338"/>
      <c r="H3" s="338"/>
      <c r="I3" s="338"/>
      <c r="J3" s="338"/>
      <c r="K3" s="338"/>
      <c r="L3" s="338"/>
      <c r="M3" s="338"/>
      <c r="N3" s="338"/>
      <c r="O3" s="338"/>
      <c r="P3" s="338"/>
      <c r="Q3" s="338"/>
      <c r="R3" s="338"/>
      <c r="S3" s="349" t="str">
        <f>HLOOKUP(Language!$B$2,Language!$C$12:$H$656,5)</f>
        <v>8D started on:</v>
      </c>
      <c r="T3" s="338"/>
      <c r="U3" s="338"/>
      <c r="V3" s="477" t="str">
        <f>IF('D1-D3'!$W$3="","",'D1-D3'!$W$3)</f>
        <v/>
      </c>
      <c r="W3" s="411"/>
      <c r="X3" s="412"/>
      <c r="Y3" s="271"/>
      <c r="Z3" s="272"/>
      <c r="AA3" s="272"/>
      <c r="AB3" s="272"/>
      <c r="AC3" s="272"/>
      <c r="AD3" s="272"/>
      <c r="AE3" s="272"/>
      <c r="AF3" s="273"/>
      <c r="AG3" s="337" t="str">
        <f>HLOOKUP(Language!$B$2,Language!$C$12:$H$656,8)</f>
        <v>Contact Person (Customer):</v>
      </c>
      <c r="AH3" s="338"/>
      <c r="AI3" s="338"/>
      <c r="AJ3" s="338"/>
      <c r="AK3" s="339"/>
      <c r="AL3" s="338" t="str">
        <f>IF('D1-D3'!$G$3="","",'D1-D3'!$G$3)</f>
        <v/>
      </c>
      <c r="AM3" s="338"/>
      <c r="AN3" s="338"/>
      <c r="AO3" s="338"/>
      <c r="AP3" s="338"/>
      <c r="AQ3" s="338"/>
      <c r="AR3" s="338"/>
      <c r="AS3" s="338"/>
      <c r="AT3" s="338"/>
      <c r="AU3" s="338"/>
      <c r="AV3" s="338"/>
      <c r="AW3" s="338"/>
      <c r="AX3" s="338"/>
      <c r="AY3" s="349" t="str">
        <f>HLOOKUP(Language!$B$2,Language!$C$12:$H$656,5)</f>
        <v>8D started on:</v>
      </c>
      <c r="AZ3" s="338"/>
      <c r="BA3" s="338"/>
      <c r="BB3" s="477" t="str">
        <f>IF('D1-D3'!$W$3="","",'D1-D3'!$W$3)</f>
        <v/>
      </c>
      <c r="BC3" s="411"/>
      <c r="BD3" s="412"/>
      <c r="BE3" s="271"/>
      <c r="BF3" s="272"/>
      <c r="BG3" s="272"/>
      <c r="BH3" s="272"/>
      <c r="BI3" s="272"/>
      <c r="BJ3" s="272"/>
      <c r="BK3" s="272"/>
      <c r="BL3" s="273"/>
      <c r="BM3" s="337" t="str">
        <f>HLOOKUP(Language!$B$2,Language!$C$12:$H$656,8)</f>
        <v>Contact Person (Customer):</v>
      </c>
      <c r="BN3" s="338"/>
      <c r="BO3" s="338"/>
      <c r="BP3" s="338"/>
      <c r="BQ3" s="339"/>
      <c r="BR3" s="338" t="str">
        <f>IF('D1-D3'!$G$3="","",'D1-D3'!$G$3)</f>
        <v/>
      </c>
      <c r="BS3" s="338"/>
      <c r="BT3" s="338"/>
      <c r="BU3" s="338"/>
      <c r="BV3" s="338"/>
      <c r="BW3" s="338"/>
      <c r="BX3" s="338"/>
      <c r="BY3" s="338"/>
      <c r="BZ3" s="338"/>
      <c r="CA3" s="338"/>
      <c r="CB3" s="338"/>
      <c r="CC3" s="338"/>
      <c r="CD3" s="338"/>
      <c r="CE3" s="349" t="str">
        <f>HLOOKUP(Language!$B$2,Language!$C$12:$H$656,5)</f>
        <v>8D started on:</v>
      </c>
      <c r="CF3" s="338"/>
      <c r="CG3" s="338"/>
      <c r="CH3" s="477" t="str">
        <f>IF('D1-D3'!$W$3="","",'D1-D3'!$W$3)</f>
        <v/>
      </c>
      <c r="CI3" s="411"/>
      <c r="CJ3" s="412"/>
      <c r="CK3" s="271"/>
      <c r="CL3" s="272"/>
      <c r="CM3" s="272"/>
      <c r="CN3" s="272"/>
      <c r="CO3" s="272"/>
      <c r="CP3" s="272"/>
      <c r="CQ3" s="272"/>
      <c r="CR3" s="273"/>
      <c r="CS3" s="337" t="str">
        <f>HLOOKUP(Language!$B$2,Language!$C$12:$H$656,8)</f>
        <v>Contact Person (Customer):</v>
      </c>
      <c r="CT3" s="338"/>
      <c r="CU3" s="338"/>
      <c r="CV3" s="338"/>
      <c r="CW3" s="339"/>
      <c r="CX3" s="338" t="str">
        <f>IF('D1-D3'!$G$3="","",'D1-D3'!$G$3)</f>
        <v/>
      </c>
      <c r="CY3" s="338"/>
      <c r="CZ3" s="338"/>
      <c r="DA3" s="338"/>
      <c r="DB3" s="338"/>
      <c r="DC3" s="338"/>
      <c r="DD3" s="338"/>
      <c r="DE3" s="338"/>
      <c r="DF3" s="338"/>
      <c r="DG3" s="338"/>
      <c r="DH3" s="338"/>
      <c r="DI3" s="338"/>
      <c r="DJ3" s="338"/>
      <c r="DK3" s="349" t="str">
        <f>HLOOKUP(Language!$B$2,Language!$C$12:$H$656,5)</f>
        <v>8D started on:</v>
      </c>
      <c r="DL3" s="338"/>
      <c r="DM3" s="338"/>
      <c r="DN3" s="477" t="str">
        <f>IF('D1-D3'!$W$3="","",'D1-D3'!$W$3)</f>
        <v/>
      </c>
      <c r="DO3" s="411"/>
      <c r="DP3" s="412"/>
      <c r="DQ3" s="271"/>
      <c r="DR3" s="272"/>
      <c r="DS3" s="272"/>
      <c r="DT3" s="272"/>
      <c r="DU3" s="272"/>
      <c r="DV3" s="272"/>
      <c r="DW3" s="272"/>
      <c r="DX3" s="273"/>
    </row>
    <row r="4" spans="1:140" ht="12" customHeight="1" x14ac:dyDescent="0.3">
      <c r="A4" s="340" t="str">
        <f>HLOOKUP(Language!$B$2,Language!$C$12:$H$656,7)</f>
        <v>Customer:</v>
      </c>
      <c r="B4" s="311"/>
      <c r="C4" s="311"/>
      <c r="D4" s="311"/>
      <c r="E4" s="312"/>
      <c r="F4" s="395" t="str">
        <f>IF('D1-D3'!$G$4="","",'D1-D3'!$G$4)</f>
        <v/>
      </c>
      <c r="G4" s="396"/>
      <c r="H4" s="396"/>
      <c r="I4" s="396"/>
      <c r="J4" s="396"/>
      <c r="K4" s="397"/>
      <c r="L4" s="310" t="str">
        <f>HLOOKUP(Language!$B$2,Language!$C$12:$H$656,15)</f>
        <v>Supplier:</v>
      </c>
      <c r="M4" s="311"/>
      <c r="N4" s="311"/>
      <c r="O4" s="311"/>
      <c r="P4" s="311"/>
      <c r="Q4" s="311"/>
      <c r="R4" s="312"/>
      <c r="S4" s="395" t="str">
        <f>IF('D1-D3'!$T$4="","",'D1-D3'!$T$4)</f>
        <v/>
      </c>
      <c r="T4" s="396"/>
      <c r="U4" s="396"/>
      <c r="V4" s="396"/>
      <c r="W4" s="396"/>
      <c r="X4" s="415"/>
      <c r="Y4" s="250"/>
      <c r="Z4" s="274" t="str">
        <f>HLOOKUP(Language!$B$2,Language!$C$12:$H$656,6)</f>
        <v>ELS:840 01 04
EOT:4 1021 03-02T
PEL:100 02 03</v>
      </c>
      <c r="AA4" s="274"/>
      <c r="AB4" s="274"/>
      <c r="AC4" s="274"/>
      <c r="AD4" s="276" t="str">
        <f>'D1-D3'!AE4</f>
        <v>Rev.07</v>
      </c>
      <c r="AE4" s="276"/>
      <c r="AF4" s="251"/>
      <c r="AG4" s="340" t="str">
        <f>HLOOKUP(Language!$B$2,Language!$C$12:$H$656,7)</f>
        <v>Customer:</v>
      </c>
      <c r="AH4" s="311"/>
      <c r="AI4" s="311"/>
      <c r="AJ4" s="311"/>
      <c r="AK4" s="312"/>
      <c r="AL4" s="395" t="str">
        <f>IF('D1-D3'!$G$4="","",'D1-D3'!$G$4)</f>
        <v/>
      </c>
      <c r="AM4" s="396"/>
      <c r="AN4" s="396"/>
      <c r="AO4" s="396"/>
      <c r="AP4" s="396"/>
      <c r="AQ4" s="397"/>
      <c r="AR4" s="310" t="str">
        <f>HLOOKUP(Language!$B$2,Language!$C$12:$H$656,15)</f>
        <v>Supplier:</v>
      </c>
      <c r="AS4" s="311"/>
      <c r="AT4" s="311"/>
      <c r="AU4" s="311"/>
      <c r="AV4" s="311"/>
      <c r="AW4" s="311"/>
      <c r="AX4" s="312"/>
      <c r="AY4" s="395" t="str">
        <f>IF('D1-D3'!$T$4="","",'D1-D3'!$T$4)</f>
        <v/>
      </c>
      <c r="AZ4" s="396"/>
      <c r="BA4" s="396"/>
      <c r="BB4" s="396"/>
      <c r="BC4" s="396"/>
      <c r="BD4" s="415"/>
      <c r="BE4" s="250"/>
      <c r="BF4" s="274" t="str">
        <f>HLOOKUP(Language!$B$2,Language!$C$12:$H$656,6)</f>
        <v>ELS:840 01 04
EOT:4 1021 03-02T
PEL:100 02 03</v>
      </c>
      <c r="BG4" s="274"/>
      <c r="BH4" s="274"/>
      <c r="BI4" s="274"/>
      <c r="BJ4" s="276" t="str">
        <f>'D1-D3'!AE4</f>
        <v>Rev.07</v>
      </c>
      <c r="BK4" s="276"/>
      <c r="BL4" s="251"/>
      <c r="BM4" s="340" t="str">
        <f>HLOOKUP(Language!$B$2,Language!$C$12:$H$656,7)</f>
        <v>Customer:</v>
      </c>
      <c r="BN4" s="311"/>
      <c r="BO4" s="311"/>
      <c r="BP4" s="311"/>
      <c r="BQ4" s="312"/>
      <c r="BR4" s="395" t="str">
        <f>IF('D1-D3'!$G$4="","",'D1-D3'!$G$4)</f>
        <v/>
      </c>
      <c r="BS4" s="396"/>
      <c r="BT4" s="396"/>
      <c r="BU4" s="396"/>
      <c r="BV4" s="396"/>
      <c r="BW4" s="397"/>
      <c r="BX4" s="310" t="str">
        <f>HLOOKUP(Language!$B$2,Language!$C$12:$H$656,15)</f>
        <v>Supplier:</v>
      </c>
      <c r="BY4" s="311"/>
      <c r="BZ4" s="311"/>
      <c r="CA4" s="311"/>
      <c r="CB4" s="311"/>
      <c r="CC4" s="311"/>
      <c r="CD4" s="312"/>
      <c r="CE4" s="395" t="str">
        <f>IF('D1-D3'!$T$4="","",'D1-D3'!$T$4)</f>
        <v/>
      </c>
      <c r="CF4" s="396"/>
      <c r="CG4" s="396"/>
      <c r="CH4" s="396"/>
      <c r="CI4" s="396"/>
      <c r="CJ4" s="415"/>
      <c r="CK4" s="250"/>
      <c r="CL4" s="274" t="str">
        <f>HLOOKUP(Language!$B$2,Language!$C$12:$H$656,6)</f>
        <v>ELS:840 01 04
EOT:4 1021 03-02T
PEL:100 02 03</v>
      </c>
      <c r="CM4" s="274"/>
      <c r="CN4" s="274"/>
      <c r="CO4" s="274"/>
      <c r="CP4" s="276" t="str">
        <f>'D1-D3'!AE4</f>
        <v>Rev.07</v>
      </c>
      <c r="CQ4" s="276"/>
      <c r="CR4" s="251"/>
      <c r="CS4" s="340" t="str">
        <f>HLOOKUP(Language!$B$2,Language!$C$12:$H$656,7)</f>
        <v>Customer:</v>
      </c>
      <c r="CT4" s="311"/>
      <c r="CU4" s="311"/>
      <c r="CV4" s="311"/>
      <c r="CW4" s="312"/>
      <c r="CX4" s="395" t="str">
        <f>IF('D1-D3'!$G$4="","",'D1-D3'!$G$4)</f>
        <v/>
      </c>
      <c r="CY4" s="396"/>
      <c r="CZ4" s="396"/>
      <c r="DA4" s="396"/>
      <c r="DB4" s="396"/>
      <c r="DC4" s="397"/>
      <c r="DD4" s="310" t="str">
        <f>HLOOKUP(Language!$B$2,Language!$C$12:$H$656,15)</f>
        <v>Supplier:</v>
      </c>
      <c r="DE4" s="311"/>
      <c r="DF4" s="311"/>
      <c r="DG4" s="311"/>
      <c r="DH4" s="311"/>
      <c r="DI4" s="311"/>
      <c r="DJ4" s="312"/>
      <c r="DK4" s="395" t="str">
        <f>IF('D1-D3'!$T$4="","",'D1-D3'!$T$4)</f>
        <v/>
      </c>
      <c r="DL4" s="396"/>
      <c r="DM4" s="396"/>
      <c r="DN4" s="396"/>
      <c r="DO4" s="396"/>
      <c r="DP4" s="415"/>
      <c r="DQ4" s="250"/>
      <c r="DR4" s="274" t="str">
        <f>HLOOKUP(Language!$B$2,Language!$C$12:$H$656,6)</f>
        <v>ELS:840 01 04
EOT:4 1021 03-02T
PEL:100 02 03</v>
      </c>
      <c r="DS4" s="274"/>
      <c r="DT4" s="274"/>
      <c r="DU4" s="274"/>
      <c r="DV4" s="276" t="str">
        <f>'D1-D3'!AE4</f>
        <v>Rev.07</v>
      </c>
      <c r="DW4" s="276"/>
      <c r="DX4" s="251"/>
    </row>
    <row r="5" spans="1:140" ht="21" customHeight="1" thickBot="1" x14ac:dyDescent="0.35">
      <c r="A5" s="341" t="str">
        <f>HLOOKUP(Language!$B$2,Language!$C$12:$H$656,9)</f>
        <v>Complaint number (Customer):</v>
      </c>
      <c r="B5" s="342"/>
      <c r="C5" s="342"/>
      <c r="D5" s="342"/>
      <c r="E5" s="343"/>
      <c r="F5" s="405" t="str">
        <f>IF('D1-D3'!$G$5="","",'D1-D3'!$G$5)</f>
        <v/>
      </c>
      <c r="G5" s="406"/>
      <c r="H5" s="406"/>
      <c r="I5" s="406"/>
      <c r="J5" s="406"/>
      <c r="K5" s="416"/>
      <c r="L5" s="485" t="str">
        <f>HLOOKUP(Language!$B$2,Language!$C$12:$H$656,14)</f>
        <v>Complaint number (Supplier):</v>
      </c>
      <c r="M5" s="486"/>
      <c r="N5" s="486"/>
      <c r="O5" s="486"/>
      <c r="P5" s="486"/>
      <c r="Q5" s="486"/>
      <c r="R5" s="487"/>
      <c r="S5" s="405" t="str">
        <f>IF('D1-D3'!$T$5="","",'D1-D3'!$T$5)</f>
        <v/>
      </c>
      <c r="T5" s="406"/>
      <c r="U5" s="406"/>
      <c r="V5" s="406"/>
      <c r="W5" s="406"/>
      <c r="X5" s="407"/>
      <c r="Y5" s="249"/>
      <c r="Z5" s="275"/>
      <c r="AA5" s="275"/>
      <c r="AB5" s="275"/>
      <c r="AC5" s="275"/>
      <c r="AD5" s="277"/>
      <c r="AE5" s="277"/>
      <c r="AF5" s="97"/>
      <c r="AG5" s="341" t="str">
        <f>HLOOKUP(Language!$B$2,Language!$C$12:$H$656,9)</f>
        <v>Complaint number (Customer):</v>
      </c>
      <c r="AH5" s="342"/>
      <c r="AI5" s="342"/>
      <c r="AJ5" s="342"/>
      <c r="AK5" s="343"/>
      <c r="AL5" s="405" t="str">
        <f>IF('D1-D3'!$G$5="","",'D1-D3'!$G$5)</f>
        <v/>
      </c>
      <c r="AM5" s="406"/>
      <c r="AN5" s="406"/>
      <c r="AO5" s="406"/>
      <c r="AP5" s="406"/>
      <c r="AQ5" s="416"/>
      <c r="AR5" s="485" t="str">
        <f>HLOOKUP(Language!$B$2,Language!$C$12:$H$656,14)</f>
        <v>Complaint number (Supplier):</v>
      </c>
      <c r="AS5" s="486"/>
      <c r="AT5" s="486"/>
      <c r="AU5" s="486"/>
      <c r="AV5" s="486"/>
      <c r="AW5" s="486"/>
      <c r="AX5" s="487"/>
      <c r="AY5" s="405" t="str">
        <f>IF('D1-D3'!$T$5="","",'D1-D3'!$T$5)</f>
        <v/>
      </c>
      <c r="AZ5" s="406"/>
      <c r="BA5" s="406"/>
      <c r="BB5" s="406"/>
      <c r="BC5" s="406"/>
      <c r="BD5" s="407"/>
      <c r="BE5" s="249"/>
      <c r="BF5" s="275"/>
      <c r="BG5" s="275"/>
      <c r="BH5" s="275"/>
      <c r="BI5" s="275"/>
      <c r="BJ5" s="277"/>
      <c r="BK5" s="277"/>
      <c r="BL5" s="97"/>
      <c r="BM5" s="341" t="str">
        <f>HLOOKUP(Language!$B$2,Language!$C$12:$H$656,9)</f>
        <v>Complaint number (Customer):</v>
      </c>
      <c r="BN5" s="342"/>
      <c r="BO5" s="342"/>
      <c r="BP5" s="342"/>
      <c r="BQ5" s="343"/>
      <c r="BR5" s="405" t="str">
        <f>IF('D1-D3'!$G$5="","",'D1-D3'!$G$5)</f>
        <v/>
      </c>
      <c r="BS5" s="406"/>
      <c r="BT5" s="406"/>
      <c r="BU5" s="406"/>
      <c r="BV5" s="406"/>
      <c r="BW5" s="416"/>
      <c r="BX5" s="485" t="str">
        <f>HLOOKUP(Language!$B$2,Language!$C$12:$H$656,14)</f>
        <v>Complaint number (Supplier):</v>
      </c>
      <c r="BY5" s="486"/>
      <c r="BZ5" s="486"/>
      <c r="CA5" s="486"/>
      <c r="CB5" s="486"/>
      <c r="CC5" s="486"/>
      <c r="CD5" s="487"/>
      <c r="CE5" s="405" t="str">
        <f>IF('D1-D3'!$T$5="","",'D1-D3'!$T$5)</f>
        <v/>
      </c>
      <c r="CF5" s="406"/>
      <c r="CG5" s="406"/>
      <c r="CH5" s="406"/>
      <c r="CI5" s="406"/>
      <c r="CJ5" s="407"/>
      <c r="CK5" s="249"/>
      <c r="CL5" s="275"/>
      <c r="CM5" s="275"/>
      <c r="CN5" s="275"/>
      <c r="CO5" s="275"/>
      <c r="CP5" s="277"/>
      <c r="CQ5" s="277"/>
      <c r="CR5" s="97"/>
      <c r="CS5" s="341" t="str">
        <f>HLOOKUP(Language!$B$2,Language!$C$12:$H$656,9)</f>
        <v>Complaint number (Customer):</v>
      </c>
      <c r="CT5" s="342"/>
      <c r="CU5" s="342"/>
      <c r="CV5" s="342"/>
      <c r="CW5" s="343"/>
      <c r="CX5" s="405" t="str">
        <f>IF('D1-D3'!$G$5="","",'D1-D3'!$G$5)</f>
        <v/>
      </c>
      <c r="CY5" s="406"/>
      <c r="CZ5" s="406"/>
      <c r="DA5" s="406"/>
      <c r="DB5" s="406"/>
      <c r="DC5" s="416"/>
      <c r="DD5" s="485" t="str">
        <f>HLOOKUP(Language!$B$2,Language!$C$12:$H$656,14)</f>
        <v>Complaint number (Supplier):</v>
      </c>
      <c r="DE5" s="486"/>
      <c r="DF5" s="486"/>
      <c r="DG5" s="486"/>
      <c r="DH5" s="486"/>
      <c r="DI5" s="486"/>
      <c r="DJ5" s="487"/>
      <c r="DK5" s="405" t="str">
        <f>IF('D1-D3'!$T$5="","",'D1-D3'!$T$5)</f>
        <v/>
      </c>
      <c r="DL5" s="406"/>
      <c r="DM5" s="406"/>
      <c r="DN5" s="406"/>
      <c r="DO5" s="406"/>
      <c r="DP5" s="407"/>
      <c r="DQ5" s="249"/>
      <c r="DR5" s="275"/>
      <c r="DS5" s="275"/>
      <c r="DT5" s="275"/>
      <c r="DU5" s="275"/>
      <c r="DV5" s="277"/>
      <c r="DW5" s="277"/>
      <c r="DX5" s="97"/>
    </row>
    <row r="6" spans="1:140" ht="12" customHeight="1" x14ac:dyDescent="0.3">
      <c r="A6" s="4"/>
      <c r="B6" s="21"/>
      <c r="C6" s="21"/>
      <c r="D6" s="21"/>
      <c r="E6" s="21"/>
      <c r="F6" s="33"/>
      <c r="G6" s="33"/>
      <c r="H6" s="33"/>
      <c r="I6" s="33"/>
      <c r="J6" s="33"/>
      <c r="K6" s="33"/>
      <c r="L6" s="6"/>
      <c r="M6" s="6"/>
      <c r="N6" s="6"/>
      <c r="O6" s="6"/>
      <c r="P6" s="6"/>
      <c r="Q6" s="6"/>
      <c r="R6" s="33"/>
      <c r="S6" s="21"/>
      <c r="T6" s="21"/>
      <c r="U6" s="21"/>
      <c r="V6" s="21"/>
      <c r="W6" s="21"/>
      <c r="X6" s="21"/>
      <c r="Y6" s="25"/>
      <c r="Z6" s="25"/>
      <c r="AA6" s="25"/>
      <c r="AB6" s="25"/>
      <c r="AC6" s="25"/>
      <c r="AD6" s="25"/>
      <c r="AE6" s="25"/>
      <c r="AF6" s="26"/>
      <c r="AG6" s="4"/>
      <c r="AH6" s="21"/>
      <c r="AI6" s="21"/>
      <c r="AJ6" s="21"/>
      <c r="AK6" s="21"/>
      <c r="AL6" s="33"/>
      <c r="AM6" s="33"/>
      <c r="AN6" s="33"/>
      <c r="AO6" s="33"/>
      <c r="AP6" s="33"/>
      <c r="AQ6" s="33"/>
      <c r="AR6" s="6"/>
      <c r="AS6" s="6"/>
      <c r="AT6" s="6"/>
      <c r="AU6" s="6"/>
      <c r="AV6" s="6"/>
      <c r="AW6" s="6"/>
      <c r="AX6" s="33"/>
      <c r="AY6" s="21"/>
      <c r="AZ6" s="21"/>
      <c r="BA6" s="21"/>
      <c r="BB6" s="21"/>
      <c r="BC6" s="21"/>
      <c r="BD6" s="21"/>
      <c r="BE6" s="25"/>
      <c r="BF6" s="25"/>
      <c r="BG6" s="25"/>
      <c r="BH6" s="25"/>
      <c r="BI6" s="25"/>
      <c r="BJ6" s="25"/>
      <c r="BK6" s="25"/>
      <c r="BL6" s="26"/>
      <c r="BM6" s="4"/>
      <c r="BN6" s="21"/>
      <c r="BO6" s="21"/>
      <c r="BP6" s="21"/>
      <c r="BQ6" s="21"/>
      <c r="BR6" s="33"/>
      <c r="BS6" s="33"/>
      <c r="BT6" s="33"/>
      <c r="BU6" s="33"/>
      <c r="BV6" s="33"/>
      <c r="BW6" s="33"/>
      <c r="BX6" s="6"/>
      <c r="BY6" s="6"/>
      <c r="BZ6" s="6"/>
      <c r="CA6" s="6"/>
      <c r="CB6" s="6"/>
      <c r="CC6" s="6"/>
      <c r="CD6" s="33"/>
      <c r="CE6" s="21"/>
      <c r="CF6" s="21"/>
      <c r="CG6" s="21"/>
      <c r="CH6" s="21"/>
      <c r="CI6" s="21"/>
      <c r="CJ6" s="21"/>
      <c r="CK6" s="25"/>
      <c r="CL6" s="25"/>
      <c r="CM6" s="25"/>
      <c r="CN6" s="25"/>
      <c r="CO6" s="25"/>
      <c r="CP6" s="25"/>
      <c r="CQ6" s="25"/>
      <c r="CR6" s="26"/>
      <c r="CS6" s="4"/>
      <c r="CT6" s="21"/>
      <c r="CU6" s="21"/>
      <c r="CV6" s="21"/>
      <c r="CW6" s="21"/>
      <c r="CX6" s="33"/>
      <c r="CY6" s="33"/>
      <c r="CZ6" s="33"/>
      <c r="DA6" s="33"/>
      <c r="DB6" s="33"/>
      <c r="DC6" s="33"/>
      <c r="DD6" s="6"/>
      <c r="DE6" s="6"/>
      <c r="DF6" s="6"/>
      <c r="DG6" s="6"/>
      <c r="DH6" s="6"/>
      <c r="DI6" s="6"/>
      <c r="DJ6" s="33"/>
      <c r="DK6" s="21"/>
      <c r="DL6" s="21"/>
      <c r="DM6" s="21"/>
      <c r="DN6" s="21"/>
      <c r="DO6" s="21"/>
      <c r="DP6" s="21"/>
      <c r="DQ6" s="25"/>
      <c r="DR6" s="25"/>
      <c r="DS6" s="25"/>
      <c r="DT6" s="25"/>
      <c r="DU6" s="25"/>
      <c r="DV6" s="25"/>
      <c r="DW6" s="25"/>
      <c r="DX6" s="26"/>
    </row>
    <row r="7" spans="1:140" ht="12" customHeight="1" x14ac:dyDescent="0.3">
      <c r="A7" s="4"/>
      <c r="B7" s="305" t="str">
        <f>HLOOKUP(Language!$B$2,Language!$C$12:$H$656,10)</f>
        <v>Material name:</v>
      </c>
      <c r="C7" s="305"/>
      <c r="D7" s="305"/>
      <c r="E7" s="305"/>
      <c r="F7" s="305"/>
      <c r="G7" s="404" t="str">
        <f>IF('D1-D3'!$H$7="","",'D1-D3'!$H$7)</f>
        <v/>
      </c>
      <c r="H7" s="404"/>
      <c r="I7" s="404"/>
      <c r="J7" s="404"/>
      <c r="K7" s="404"/>
      <c r="L7" s="404"/>
      <c r="M7" s="404"/>
      <c r="N7" s="404"/>
      <c r="O7" s="404"/>
      <c r="P7" s="404"/>
      <c r="Q7" s="305" t="str">
        <f>HLOOKUP(Language!$B$2,Language!$C$12:$H$656,12)</f>
        <v>Drawing no.</v>
      </c>
      <c r="R7" s="305"/>
      <c r="S7" s="305"/>
      <c r="T7" s="305"/>
      <c r="U7" s="305"/>
      <c r="V7" s="404" t="str">
        <f>IF('D1-D3'!$W$7="","",'D1-D3'!$W$7)</f>
        <v/>
      </c>
      <c r="W7" s="404"/>
      <c r="X7" s="404"/>
      <c r="Y7" s="404"/>
      <c r="Z7" s="404"/>
      <c r="AA7" s="404"/>
      <c r="AB7" s="404"/>
      <c r="AC7" s="404"/>
      <c r="AD7" s="404"/>
      <c r="AE7" s="404"/>
      <c r="AF7" s="5"/>
      <c r="AG7" s="4"/>
      <c r="AH7" s="305" t="str">
        <f>HLOOKUP(Language!$B$2,Language!$C$12:$H$656,10)</f>
        <v>Material name:</v>
      </c>
      <c r="AI7" s="305"/>
      <c r="AJ7" s="305"/>
      <c r="AK7" s="305"/>
      <c r="AL7" s="305"/>
      <c r="AM7" s="404" t="str">
        <f>IF('D1-D3'!$H$7="","",'D1-D3'!$H$7)</f>
        <v/>
      </c>
      <c r="AN7" s="404"/>
      <c r="AO7" s="404"/>
      <c r="AP7" s="404"/>
      <c r="AQ7" s="404"/>
      <c r="AR7" s="404"/>
      <c r="AS7" s="404"/>
      <c r="AT7" s="404"/>
      <c r="AU7" s="404"/>
      <c r="AV7" s="404"/>
      <c r="AW7" s="305" t="str">
        <f>HLOOKUP(Language!$B$2,Language!$C$12:$H$656,12)</f>
        <v>Drawing no.</v>
      </c>
      <c r="AX7" s="305"/>
      <c r="AY7" s="305"/>
      <c r="AZ7" s="305"/>
      <c r="BA7" s="305"/>
      <c r="BB7" s="404" t="str">
        <f>IF('D1-D3'!$W$7="","",'D1-D3'!$W$7)</f>
        <v/>
      </c>
      <c r="BC7" s="404"/>
      <c r="BD7" s="404"/>
      <c r="BE7" s="404"/>
      <c r="BF7" s="404"/>
      <c r="BG7" s="404"/>
      <c r="BH7" s="404"/>
      <c r="BI7" s="404"/>
      <c r="BJ7" s="404"/>
      <c r="BK7" s="404"/>
      <c r="BL7" s="5"/>
      <c r="BM7" s="4"/>
      <c r="BN7" s="305" t="str">
        <f>HLOOKUP(Language!$B$2,Language!$C$12:$H$656,10)</f>
        <v>Material name:</v>
      </c>
      <c r="BO7" s="305"/>
      <c r="BP7" s="305"/>
      <c r="BQ7" s="305"/>
      <c r="BR7" s="305"/>
      <c r="BS7" s="404" t="str">
        <f>IF('D1-D3'!$H$7="","",'D1-D3'!$H$7)</f>
        <v/>
      </c>
      <c r="BT7" s="404"/>
      <c r="BU7" s="404"/>
      <c r="BV7" s="404"/>
      <c r="BW7" s="404"/>
      <c r="BX7" s="404"/>
      <c r="BY7" s="404"/>
      <c r="BZ7" s="404"/>
      <c r="CA7" s="404"/>
      <c r="CB7" s="404"/>
      <c r="CC7" s="305" t="str">
        <f>HLOOKUP(Language!$B$2,Language!$C$12:$H$656,12)</f>
        <v>Drawing no.</v>
      </c>
      <c r="CD7" s="305"/>
      <c r="CE7" s="305"/>
      <c r="CF7" s="305"/>
      <c r="CG7" s="305"/>
      <c r="CH7" s="404" t="str">
        <f>IF('D1-D3'!$W$7="","",'D1-D3'!$W$7)</f>
        <v/>
      </c>
      <c r="CI7" s="404"/>
      <c r="CJ7" s="404"/>
      <c r="CK7" s="404"/>
      <c r="CL7" s="404"/>
      <c r="CM7" s="404"/>
      <c r="CN7" s="404"/>
      <c r="CO7" s="404"/>
      <c r="CP7" s="404"/>
      <c r="CQ7" s="404"/>
      <c r="CR7" s="5"/>
      <c r="CS7" s="4"/>
      <c r="CT7" s="305" t="str">
        <f>HLOOKUP(Language!$B$2,Language!$C$12:$H$656,10)</f>
        <v>Material name:</v>
      </c>
      <c r="CU7" s="305"/>
      <c r="CV7" s="305"/>
      <c r="CW7" s="305"/>
      <c r="CX7" s="305"/>
      <c r="CY7" s="404" t="str">
        <f>IF('D1-D3'!$H$7="","",'D1-D3'!$H$7)</f>
        <v/>
      </c>
      <c r="CZ7" s="404"/>
      <c r="DA7" s="404"/>
      <c r="DB7" s="404"/>
      <c r="DC7" s="404"/>
      <c r="DD7" s="404"/>
      <c r="DE7" s="404"/>
      <c r="DF7" s="404"/>
      <c r="DG7" s="404"/>
      <c r="DH7" s="404"/>
      <c r="DI7" s="305" t="str">
        <f>HLOOKUP(Language!$B$2,Language!$C$12:$H$656,12)</f>
        <v>Drawing no.</v>
      </c>
      <c r="DJ7" s="305"/>
      <c r="DK7" s="305"/>
      <c r="DL7" s="305"/>
      <c r="DM7" s="305"/>
      <c r="DN7" s="404" t="str">
        <f>IF('D1-D3'!$W$7="","",'D1-D3'!$W$7)</f>
        <v/>
      </c>
      <c r="DO7" s="404"/>
      <c r="DP7" s="404"/>
      <c r="DQ7" s="404"/>
      <c r="DR7" s="404"/>
      <c r="DS7" s="404"/>
      <c r="DT7" s="404"/>
      <c r="DU7" s="404"/>
      <c r="DV7" s="404"/>
      <c r="DW7" s="404"/>
      <c r="DX7" s="5"/>
    </row>
    <row r="8" spans="1:140" s="127" customFormat="1" ht="12" customHeight="1" thickBot="1" x14ac:dyDescent="0.35">
      <c r="A8" s="4"/>
      <c r="B8" s="305" t="str">
        <f>HLOOKUP(Language!$B$2,Language!$C$12:$H$656,11)</f>
        <v>Material number:</v>
      </c>
      <c r="C8" s="305"/>
      <c r="D8" s="305"/>
      <c r="E8" s="305"/>
      <c r="F8" s="305"/>
      <c r="G8" s="404" t="str">
        <f>IF('D1-D3'!$H$8="","",'D1-D3'!$H$8)</f>
        <v/>
      </c>
      <c r="H8" s="404"/>
      <c r="I8" s="404"/>
      <c r="J8" s="404"/>
      <c r="K8" s="404"/>
      <c r="L8" s="404"/>
      <c r="M8" s="404"/>
      <c r="N8" s="404"/>
      <c r="O8" s="404"/>
      <c r="P8" s="404"/>
      <c r="Q8" s="305" t="str">
        <f>HLOOKUP(Language!$B$2,Language!$C$12:$H$656,13)</f>
        <v>Drawing revision</v>
      </c>
      <c r="R8" s="305"/>
      <c r="S8" s="305"/>
      <c r="T8" s="305"/>
      <c r="U8" s="305"/>
      <c r="V8" s="404" t="str">
        <f>IF('D1-D3'!$W$8="","",'D1-D3'!$W$8)</f>
        <v/>
      </c>
      <c r="W8" s="404"/>
      <c r="X8" s="404"/>
      <c r="Y8" s="404"/>
      <c r="Z8" s="404"/>
      <c r="AA8" s="404"/>
      <c r="AB8" s="404"/>
      <c r="AC8" s="404"/>
      <c r="AD8" s="404"/>
      <c r="AE8" s="404"/>
      <c r="AF8" s="5"/>
      <c r="AG8" s="4"/>
      <c r="AH8" s="305" t="str">
        <f>HLOOKUP(Language!$B$2,Language!$C$12:$H$656,11)</f>
        <v>Material number:</v>
      </c>
      <c r="AI8" s="305"/>
      <c r="AJ8" s="305"/>
      <c r="AK8" s="305"/>
      <c r="AL8" s="305"/>
      <c r="AM8" s="404" t="str">
        <f>IF('D1-D3'!$H$8="","",'D1-D3'!$H$8)</f>
        <v/>
      </c>
      <c r="AN8" s="404"/>
      <c r="AO8" s="404"/>
      <c r="AP8" s="404"/>
      <c r="AQ8" s="404"/>
      <c r="AR8" s="404"/>
      <c r="AS8" s="404"/>
      <c r="AT8" s="404"/>
      <c r="AU8" s="404"/>
      <c r="AV8" s="404"/>
      <c r="AW8" s="305" t="str">
        <f>HLOOKUP(Language!$B$2,Language!$C$12:$H$656,13)</f>
        <v>Drawing revision</v>
      </c>
      <c r="AX8" s="305"/>
      <c r="AY8" s="305"/>
      <c r="AZ8" s="305"/>
      <c r="BA8" s="305"/>
      <c r="BB8" s="404" t="str">
        <f>IF('D1-D3'!$W$8="","",'D1-D3'!$W$8)</f>
        <v/>
      </c>
      <c r="BC8" s="404"/>
      <c r="BD8" s="404"/>
      <c r="BE8" s="404"/>
      <c r="BF8" s="404"/>
      <c r="BG8" s="404"/>
      <c r="BH8" s="404"/>
      <c r="BI8" s="404"/>
      <c r="BJ8" s="404"/>
      <c r="BK8" s="404"/>
      <c r="BL8" s="5"/>
      <c r="BM8" s="4"/>
      <c r="BN8" s="305" t="str">
        <f>HLOOKUP(Language!$B$2,Language!$C$12:$H$656,11)</f>
        <v>Material number:</v>
      </c>
      <c r="BO8" s="305"/>
      <c r="BP8" s="305"/>
      <c r="BQ8" s="305"/>
      <c r="BR8" s="305"/>
      <c r="BS8" s="404" t="str">
        <f>IF('D1-D3'!$H$8="","",'D1-D3'!$H$8)</f>
        <v/>
      </c>
      <c r="BT8" s="404"/>
      <c r="BU8" s="404"/>
      <c r="BV8" s="404"/>
      <c r="BW8" s="404"/>
      <c r="BX8" s="404"/>
      <c r="BY8" s="404"/>
      <c r="BZ8" s="404"/>
      <c r="CA8" s="404"/>
      <c r="CB8" s="404"/>
      <c r="CC8" s="305" t="str">
        <f>HLOOKUP(Language!$B$2,Language!$C$12:$H$656,13)</f>
        <v>Drawing revision</v>
      </c>
      <c r="CD8" s="305"/>
      <c r="CE8" s="305"/>
      <c r="CF8" s="305"/>
      <c r="CG8" s="305"/>
      <c r="CH8" s="404" t="str">
        <f>IF('D1-D3'!$W$8="","",'D1-D3'!$W$8)</f>
        <v/>
      </c>
      <c r="CI8" s="404"/>
      <c r="CJ8" s="404"/>
      <c r="CK8" s="404"/>
      <c r="CL8" s="404"/>
      <c r="CM8" s="404"/>
      <c r="CN8" s="404"/>
      <c r="CO8" s="404"/>
      <c r="CP8" s="404"/>
      <c r="CQ8" s="404"/>
      <c r="CR8" s="5"/>
      <c r="CS8" s="4"/>
      <c r="CT8" s="305" t="str">
        <f>HLOOKUP(Language!$B$2,Language!$C$12:$H$656,11)</f>
        <v>Material number:</v>
      </c>
      <c r="CU8" s="305"/>
      <c r="CV8" s="305"/>
      <c r="CW8" s="305"/>
      <c r="CX8" s="305"/>
      <c r="CY8" s="404" t="str">
        <f>IF('D1-D3'!$H$8="","",'D1-D3'!$H$8)</f>
        <v/>
      </c>
      <c r="CZ8" s="404"/>
      <c r="DA8" s="404"/>
      <c r="DB8" s="404"/>
      <c r="DC8" s="404"/>
      <c r="DD8" s="404"/>
      <c r="DE8" s="404"/>
      <c r="DF8" s="404"/>
      <c r="DG8" s="404"/>
      <c r="DH8" s="404"/>
      <c r="DI8" s="305" t="str">
        <f>HLOOKUP(Language!$B$2,Language!$C$12:$H$656,13)</f>
        <v>Drawing revision</v>
      </c>
      <c r="DJ8" s="305"/>
      <c r="DK8" s="305"/>
      <c r="DL8" s="305"/>
      <c r="DM8" s="305"/>
      <c r="DN8" s="404" t="str">
        <f>IF('D1-D3'!$W$8="","",'D1-D3'!$W$8)</f>
        <v/>
      </c>
      <c r="DO8" s="404"/>
      <c r="DP8" s="404"/>
      <c r="DQ8" s="404"/>
      <c r="DR8" s="404"/>
      <c r="DS8" s="404"/>
      <c r="DT8" s="404"/>
      <c r="DU8" s="404"/>
      <c r="DV8" s="404"/>
      <c r="DW8" s="404"/>
      <c r="DX8" s="5"/>
      <c r="EH8" s="151"/>
      <c r="EI8" s="151"/>
      <c r="EJ8" s="151"/>
    </row>
    <row r="9" spans="1:140" ht="12" customHeight="1" thickBot="1" x14ac:dyDescent="0.35">
      <c r="A9" s="18"/>
      <c r="B9" s="19"/>
      <c r="C9" s="19"/>
      <c r="D9" s="19"/>
      <c r="E9" s="19"/>
      <c r="F9" s="19"/>
      <c r="G9" s="19"/>
      <c r="H9" s="19"/>
      <c r="I9" s="19"/>
      <c r="J9" s="19"/>
      <c r="K9" s="19"/>
      <c r="L9" s="19"/>
      <c r="M9" s="19"/>
      <c r="N9" s="19"/>
      <c r="O9" s="19"/>
      <c r="P9" s="19"/>
      <c r="Q9" s="19"/>
      <c r="R9" s="19"/>
      <c r="S9" s="19"/>
      <c r="T9" s="19"/>
      <c r="U9" s="19"/>
      <c r="V9" s="19"/>
      <c r="W9" s="19"/>
      <c r="X9" s="19"/>
      <c r="Y9" s="27"/>
      <c r="Z9" s="28"/>
      <c r="AA9" s="28"/>
      <c r="AB9" s="28"/>
      <c r="AC9" s="28"/>
      <c r="AD9" s="28"/>
      <c r="AE9" s="28"/>
      <c r="AF9" s="29"/>
      <c r="AG9" s="18"/>
      <c r="AH9" s="19"/>
      <c r="AI9" s="19"/>
      <c r="AJ9" s="19"/>
      <c r="AK9" s="19"/>
      <c r="AL9" s="19"/>
      <c r="AM9" s="19"/>
      <c r="AN9" s="19"/>
      <c r="AO9" s="19"/>
      <c r="AP9" s="19"/>
      <c r="AQ9" s="19"/>
      <c r="AR9" s="19"/>
      <c r="AS9" s="19"/>
      <c r="AT9" s="19"/>
      <c r="AU9" s="19"/>
      <c r="AV9" s="19"/>
      <c r="AW9" s="19"/>
      <c r="AX9" s="19"/>
      <c r="AY9" s="19"/>
      <c r="AZ9" s="19"/>
      <c r="BA9" s="19"/>
      <c r="BB9" s="19"/>
      <c r="BC9" s="19"/>
      <c r="BD9" s="19"/>
      <c r="BE9" s="27"/>
      <c r="BF9" s="28"/>
      <c r="BG9" s="28"/>
      <c r="BH9" s="28"/>
      <c r="BI9" s="28"/>
      <c r="BJ9" s="28"/>
      <c r="BK9" s="28"/>
      <c r="BL9" s="29"/>
      <c r="BM9" s="18"/>
      <c r="BN9" s="19"/>
      <c r="BO9" s="19"/>
      <c r="BP9" s="19"/>
      <c r="BQ9" s="19"/>
      <c r="BR9" s="19"/>
      <c r="BS9" s="19"/>
      <c r="BT9" s="19"/>
      <c r="BU9" s="19"/>
      <c r="BV9" s="19"/>
      <c r="BW9" s="19"/>
      <c r="BX9" s="19"/>
      <c r="BY9" s="19"/>
      <c r="BZ9" s="19"/>
      <c r="CA9" s="19"/>
      <c r="CB9" s="19"/>
      <c r="CC9" s="19"/>
      <c r="CD9" s="19"/>
      <c r="CE9" s="19"/>
      <c r="CF9" s="19"/>
      <c r="CG9" s="19"/>
      <c r="CH9" s="19"/>
      <c r="CI9" s="19"/>
      <c r="CJ9" s="19"/>
      <c r="CK9" s="27"/>
      <c r="CL9" s="28"/>
      <c r="CM9" s="28"/>
      <c r="CN9" s="28"/>
      <c r="CO9" s="28"/>
      <c r="CP9" s="28"/>
      <c r="CQ9" s="28"/>
      <c r="CR9" s="29"/>
      <c r="CS9" s="18"/>
      <c r="CT9" s="19"/>
      <c r="CU9" s="19"/>
      <c r="CV9" s="19"/>
      <c r="CW9" s="19"/>
      <c r="CX9" s="19"/>
      <c r="CY9" s="19"/>
      <c r="CZ9" s="19"/>
      <c r="DA9" s="19"/>
      <c r="DB9" s="19"/>
      <c r="DC9" s="19"/>
      <c r="DD9" s="19"/>
      <c r="DE9" s="19"/>
      <c r="DF9" s="19"/>
      <c r="DG9" s="19"/>
      <c r="DH9" s="19"/>
      <c r="DI9" s="19"/>
      <c r="DJ9" s="19"/>
      <c r="DK9" s="19"/>
      <c r="DL9" s="19"/>
      <c r="DM9" s="19"/>
      <c r="DN9" s="19"/>
      <c r="DO9" s="19"/>
      <c r="DP9" s="19"/>
      <c r="DQ9" s="27"/>
      <c r="DR9" s="28"/>
      <c r="DS9" s="28"/>
      <c r="DT9" s="28"/>
      <c r="DU9" s="28"/>
      <c r="DV9" s="28"/>
      <c r="DW9" s="28"/>
      <c r="DX9" s="29"/>
      <c r="EH9" s="488" t="b">
        <f>ISBLANK($CZ$10)</f>
        <v>1</v>
      </c>
      <c r="EI9" s="488"/>
      <c r="EJ9" s="488"/>
    </row>
    <row r="10" spans="1:140" ht="15" customHeight="1" thickBot="1" x14ac:dyDescent="0.35">
      <c r="A10" s="480" t="str">
        <f>HLOOKUP(Language!$B$2,Language!$C$12:$H$656,142)</f>
        <v>Document name:</v>
      </c>
      <c r="B10" s="481"/>
      <c r="C10" s="481"/>
      <c r="D10" s="481"/>
      <c r="E10" s="481"/>
      <c r="F10" s="481"/>
      <c r="G10" s="481"/>
      <c r="H10" s="491"/>
      <c r="I10" s="491"/>
      <c r="J10" s="491"/>
      <c r="K10" s="491"/>
      <c r="L10" s="491"/>
      <c r="M10" s="491"/>
      <c r="N10" s="491"/>
      <c r="O10" s="491"/>
      <c r="P10" s="491"/>
      <c r="Q10" s="491"/>
      <c r="R10" s="491"/>
      <c r="S10" s="491"/>
      <c r="T10" s="491"/>
      <c r="U10" s="491"/>
      <c r="V10" s="491"/>
      <c r="W10" s="491"/>
      <c r="X10" s="491"/>
      <c r="Y10" s="491"/>
      <c r="Z10" s="478"/>
      <c r="AA10" s="478"/>
      <c r="AB10" s="478"/>
      <c r="AC10" s="478"/>
      <c r="AD10" s="478"/>
      <c r="AE10" s="478"/>
      <c r="AF10" s="479"/>
      <c r="AG10" s="480" t="str">
        <f>HLOOKUP(Language!$B$2,Language!$C$12:$H$656,142)</f>
        <v>Document name:</v>
      </c>
      <c r="AH10" s="481"/>
      <c r="AI10" s="481"/>
      <c r="AJ10" s="481"/>
      <c r="AK10" s="481"/>
      <c r="AL10" s="481"/>
      <c r="AM10" s="481"/>
      <c r="AN10" s="491"/>
      <c r="AO10" s="491"/>
      <c r="AP10" s="491"/>
      <c r="AQ10" s="491"/>
      <c r="AR10" s="491"/>
      <c r="AS10" s="491"/>
      <c r="AT10" s="491"/>
      <c r="AU10" s="491"/>
      <c r="AV10" s="491"/>
      <c r="AW10" s="491"/>
      <c r="AX10" s="491"/>
      <c r="AY10" s="491"/>
      <c r="AZ10" s="491"/>
      <c r="BA10" s="491"/>
      <c r="BB10" s="491"/>
      <c r="BC10" s="491"/>
      <c r="BD10" s="491"/>
      <c r="BE10" s="491"/>
      <c r="BF10" s="478"/>
      <c r="BG10" s="478"/>
      <c r="BH10" s="478"/>
      <c r="BI10" s="478"/>
      <c r="BJ10" s="478"/>
      <c r="BK10" s="478"/>
      <c r="BL10" s="479"/>
      <c r="BM10" s="480" t="str">
        <f>HLOOKUP(Language!$B$2,Language!$C$12:$H$656,142)</f>
        <v>Document name:</v>
      </c>
      <c r="BN10" s="481"/>
      <c r="BO10" s="481"/>
      <c r="BP10" s="481"/>
      <c r="BQ10" s="481"/>
      <c r="BR10" s="481"/>
      <c r="BS10" s="481"/>
      <c r="BT10" s="491"/>
      <c r="BU10" s="491"/>
      <c r="BV10" s="491"/>
      <c r="BW10" s="491"/>
      <c r="BX10" s="491"/>
      <c r="BY10" s="491"/>
      <c r="BZ10" s="491"/>
      <c r="CA10" s="491"/>
      <c r="CB10" s="491"/>
      <c r="CC10" s="491"/>
      <c r="CD10" s="491"/>
      <c r="CE10" s="491"/>
      <c r="CF10" s="491"/>
      <c r="CG10" s="491"/>
      <c r="CH10" s="491"/>
      <c r="CI10" s="491"/>
      <c r="CJ10" s="491"/>
      <c r="CK10" s="491"/>
      <c r="CL10" s="478"/>
      <c r="CM10" s="478"/>
      <c r="CN10" s="478"/>
      <c r="CO10" s="478"/>
      <c r="CP10" s="478"/>
      <c r="CQ10" s="478"/>
      <c r="CR10" s="479"/>
      <c r="CS10" s="480" t="str">
        <f>HLOOKUP(Language!$B$2,Language!$C$12:$H$656,142)</f>
        <v>Document name:</v>
      </c>
      <c r="CT10" s="481"/>
      <c r="CU10" s="481"/>
      <c r="CV10" s="481"/>
      <c r="CW10" s="481"/>
      <c r="CX10" s="481"/>
      <c r="CY10" s="481"/>
      <c r="CZ10" s="491"/>
      <c r="DA10" s="491"/>
      <c r="DB10" s="491"/>
      <c r="DC10" s="491"/>
      <c r="DD10" s="491"/>
      <c r="DE10" s="491"/>
      <c r="DF10" s="491"/>
      <c r="DG10" s="491"/>
      <c r="DH10" s="491"/>
      <c r="DI10" s="491"/>
      <c r="DJ10" s="491"/>
      <c r="DK10" s="491"/>
      <c r="DL10" s="491"/>
      <c r="DM10" s="491"/>
      <c r="DN10" s="491"/>
      <c r="DO10" s="491"/>
      <c r="DP10" s="491"/>
      <c r="DQ10" s="491"/>
      <c r="DR10" s="478"/>
      <c r="DS10" s="478"/>
      <c r="DT10" s="478"/>
      <c r="DU10" s="478"/>
      <c r="DV10" s="478"/>
      <c r="DW10" s="478"/>
      <c r="DX10" s="479"/>
      <c r="EH10" s="488" t="b">
        <f>ISBLANK($BT$10)</f>
        <v>1</v>
      </c>
      <c r="EI10" s="488"/>
      <c r="EJ10" s="488"/>
    </row>
    <row r="11" spans="1:140" s="155" customFormat="1" ht="12" customHeight="1" thickBot="1" x14ac:dyDescent="0.35">
      <c r="A11" s="156"/>
      <c r="B11" s="150"/>
      <c r="C11" s="150"/>
      <c r="D11" s="150"/>
      <c r="E11" s="150"/>
      <c r="F11" s="150"/>
      <c r="G11" s="150"/>
      <c r="H11" s="490"/>
      <c r="I11" s="490"/>
      <c r="J11" s="490"/>
      <c r="K11" s="150"/>
      <c r="L11" s="150" t="e">
        <f>IF('D1-D3'!$AD$6="Deutsch",#REF!,IF('D1-D3'!$AD$6="English",#REF!,IF('D1-D3'!$AD$6="Polski",#REF!)))</f>
        <v>#REF!</v>
      </c>
      <c r="M11" s="150"/>
      <c r="N11" s="150"/>
      <c r="O11" s="150"/>
      <c r="P11" s="150"/>
      <c r="Q11" s="150"/>
      <c r="R11" s="150"/>
      <c r="S11" s="150"/>
      <c r="T11" s="150"/>
      <c r="U11" s="150"/>
      <c r="V11" s="150"/>
      <c r="W11" s="150"/>
      <c r="X11" s="150"/>
      <c r="Y11" s="150"/>
      <c r="Z11" s="150"/>
      <c r="AA11" s="150"/>
      <c r="AB11" s="150"/>
      <c r="AC11" s="150"/>
      <c r="AD11" s="150"/>
      <c r="AE11" s="150"/>
      <c r="AF11" s="157"/>
      <c r="AG11" s="152"/>
      <c r="AH11" s="153"/>
      <c r="AI11" s="153"/>
      <c r="AJ11" s="153"/>
      <c r="AK11" s="153"/>
      <c r="AL11" s="153"/>
      <c r="AM11" s="153"/>
      <c r="AN11" s="490"/>
      <c r="AO11" s="490"/>
      <c r="AP11" s="490"/>
      <c r="AQ11" s="150"/>
      <c r="AR11" s="150" t="e">
        <f>IF('D1-D3'!$AD$6="Deutsch",#REF!,IF('D1-D3'!$AD$6="English",#REF!,IF('D1-D3'!$AD$6="Polski",#REF!)))</f>
        <v>#REF!</v>
      </c>
      <c r="AS11" s="153"/>
      <c r="AT11" s="153"/>
      <c r="AU11" s="153"/>
      <c r="AV11" s="153"/>
      <c r="AW11" s="153"/>
      <c r="AX11" s="153"/>
      <c r="AY11" s="153"/>
      <c r="AZ11" s="153"/>
      <c r="BA11" s="153"/>
      <c r="BB11" s="153"/>
      <c r="BC11" s="153"/>
      <c r="BD11" s="153"/>
      <c r="BE11" s="153"/>
      <c r="BF11" s="153"/>
      <c r="BG11" s="153"/>
      <c r="BH11" s="153"/>
      <c r="BI11" s="153"/>
      <c r="BJ11" s="153"/>
      <c r="BK11" s="153"/>
      <c r="BL11" s="154"/>
      <c r="BM11" s="158"/>
      <c r="BN11" s="159"/>
      <c r="BO11" s="159"/>
      <c r="BP11" s="159"/>
      <c r="BQ11" s="159"/>
      <c r="BR11" s="159"/>
      <c r="BS11" s="159"/>
      <c r="BT11" s="490"/>
      <c r="BU11" s="490"/>
      <c r="BV11" s="490"/>
      <c r="BW11" s="150"/>
      <c r="BX11" s="150" t="e">
        <f>IF('D1-D3'!$AD$6="Deutsch",#REF!,IF('D1-D3'!$AD$6="English",#REF!,IF('D1-D3'!$AD$6="Polski",#REF!)))</f>
        <v>#REF!</v>
      </c>
      <c r="BY11" s="159"/>
      <c r="BZ11" s="159"/>
      <c r="CA11" s="159"/>
      <c r="CB11" s="159"/>
      <c r="CC11" s="159"/>
      <c r="CD11" s="159"/>
      <c r="CE11" s="159"/>
      <c r="CF11" s="159"/>
      <c r="CG11" s="159"/>
      <c r="CH11" s="159"/>
      <c r="CI11" s="159"/>
      <c r="CJ11" s="159"/>
      <c r="CK11" s="159"/>
      <c r="CL11" s="159"/>
      <c r="CM11" s="159"/>
      <c r="CN11" s="159"/>
      <c r="CO11" s="159"/>
      <c r="CP11" s="159"/>
      <c r="CQ11" s="159"/>
      <c r="CR11" s="160"/>
      <c r="CS11" s="158"/>
      <c r="CT11" s="159"/>
      <c r="CU11" s="159"/>
      <c r="CV11" s="159"/>
      <c r="CW11" s="159"/>
      <c r="CX11" s="159"/>
      <c r="CY11" s="159"/>
      <c r="CZ11" s="490"/>
      <c r="DA11" s="490"/>
      <c r="DB11" s="490"/>
      <c r="DC11" s="150"/>
      <c r="DD11" s="150" t="e">
        <f>IF('D1-D3'!$AD$6="Deutsch",#REF!,IF('D1-D3'!$AD$6="English",#REF!,IF('D1-D3'!$AD$6="Polski",#REF!)))</f>
        <v>#REF!</v>
      </c>
      <c r="DE11" s="159"/>
      <c r="DF11" s="159"/>
      <c r="DG11" s="159"/>
      <c r="DH11" s="159"/>
      <c r="DI11" s="159"/>
      <c r="DJ11" s="159"/>
      <c r="DK11" s="159"/>
      <c r="DL11" s="159"/>
      <c r="DM11" s="159"/>
      <c r="DN11" s="159"/>
      <c r="DO11" s="159"/>
      <c r="DP11" s="159"/>
      <c r="DQ11" s="159"/>
      <c r="DR11" s="159"/>
      <c r="DS11" s="159"/>
      <c r="DT11" s="159"/>
      <c r="DU11" s="159"/>
      <c r="DV11" s="159"/>
      <c r="DW11" s="159"/>
      <c r="DX11" s="160"/>
      <c r="EH11" s="489" t="b">
        <f>ISBLANK($AN$10)</f>
        <v>1</v>
      </c>
      <c r="EI11" s="489"/>
      <c r="EJ11" s="489"/>
    </row>
    <row r="12" spans="1:140" ht="12" customHeight="1" x14ac:dyDescent="0.3">
      <c r="A12" s="90"/>
      <c r="B12" s="482" t="str">
        <f>HLOOKUP(Language!$B$2,Language!$C$12:$H$656,140)</f>
        <v>Previous:</v>
      </c>
      <c r="C12" s="483"/>
      <c r="D12" s="483"/>
      <c r="E12" s="483"/>
      <c r="F12" s="483"/>
      <c r="G12" s="483"/>
      <c r="H12" s="483"/>
      <c r="I12" s="483"/>
      <c r="J12" s="483"/>
      <c r="K12" s="483"/>
      <c r="L12" s="483"/>
      <c r="M12" s="483"/>
      <c r="N12" s="483"/>
      <c r="O12" s="484"/>
      <c r="P12" s="91"/>
      <c r="Q12" s="91"/>
      <c r="R12" s="482" t="str">
        <f>HLOOKUP(Language!$B$2,Language!$C$12:$H$656,141)</f>
        <v>Afterwards:</v>
      </c>
      <c r="S12" s="483"/>
      <c r="T12" s="483"/>
      <c r="U12" s="483"/>
      <c r="V12" s="483"/>
      <c r="W12" s="483"/>
      <c r="X12" s="483"/>
      <c r="Y12" s="483"/>
      <c r="Z12" s="483"/>
      <c r="AA12" s="483"/>
      <c r="AB12" s="483"/>
      <c r="AC12" s="483"/>
      <c r="AD12" s="483"/>
      <c r="AE12" s="484"/>
      <c r="AF12" s="92"/>
      <c r="AG12" s="83"/>
      <c r="AH12" s="482" t="str">
        <f>HLOOKUP(Language!$B$2,Language!$C$12:$H$656,140)</f>
        <v>Previous:</v>
      </c>
      <c r="AI12" s="483"/>
      <c r="AJ12" s="483"/>
      <c r="AK12" s="483"/>
      <c r="AL12" s="483"/>
      <c r="AM12" s="483"/>
      <c r="AN12" s="483"/>
      <c r="AO12" s="483"/>
      <c r="AP12" s="483"/>
      <c r="AQ12" s="483"/>
      <c r="AR12" s="483"/>
      <c r="AS12" s="483"/>
      <c r="AT12" s="483"/>
      <c r="AU12" s="484"/>
      <c r="AV12" s="91"/>
      <c r="AW12" s="91"/>
      <c r="AX12" s="482" t="str">
        <f>HLOOKUP(Language!$B$2,Language!$C$12:$H$656,141)</f>
        <v>Afterwards:</v>
      </c>
      <c r="AY12" s="483"/>
      <c r="AZ12" s="483"/>
      <c r="BA12" s="483"/>
      <c r="BB12" s="483"/>
      <c r="BC12" s="483"/>
      <c r="BD12" s="483"/>
      <c r="BE12" s="483"/>
      <c r="BF12" s="483"/>
      <c r="BG12" s="483"/>
      <c r="BH12" s="483"/>
      <c r="BI12" s="483"/>
      <c r="BJ12" s="483"/>
      <c r="BK12" s="484"/>
      <c r="BL12" s="84"/>
      <c r="BM12" s="4"/>
      <c r="BN12" s="482" t="str">
        <f>HLOOKUP(Language!$B$2,Language!$C$12:$H$656,140)</f>
        <v>Previous:</v>
      </c>
      <c r="BO12" s="483"/>
      <c r="BP12" s="483"/>
      <c r="BQ12" s="483"/>
      <c r="BR12" s="483"/>
      <c r="BS12" s="483"/>
      <c r="BT12" s="483"/>
      <c r="BU12" s="483"/>
      <c r="BV12" s="483"/>
      <c r="BW12" s="483"/>
      <c r="BX12" s="483"/>
      <c r="BY12" s="483"/>
      <c r="BZ12" s="483"/>
      <c r="CA12" s="484"/>
      <c r="CB12" s="91"/>
      <c r="CC12" s="91"/>
      <c r="CD12" s="482" t="str">
        <f>HLOOKUP(Language!$B$2,Language!$C$12:$H$656,141)</f>
        <v>Afterwards:</v>
      </c>
      <c r="CE12" s="483"/>
      <c r="CF12" s="483"/>
      <c r="CG12" s="483"/>
      <c r="CH12" s="483"/>
      <c r="CI12" s="483"/>
      <c r="CJ12" s="483"/>
      <c r="CK12" s="483"/>
      <c r="CL12" s="483"/>
      <c r="CM12" s="483"/>
      <c r="CN12" s="483"/>
      <c r="CO12" s="483"/>
      <c r="CP12" s="483"/>
      <c r="CQ12" s="484"/>
      <c r="CR12" s="5"/>
      <c r="CS12" s="4"/>
      <c r="CT12" s="482" t="str">
        <f>HLOOKUP(Language!$B$2,Language!$C$12:$H$656,140)</f>
        <v>Previous:</v>
      </c>
      <c r="CU12" s="483"/>
      <c r="CV12" s="483"/>
      <c r="CW12" s="483"/>
      <c r="CX12" s="483"/>
      <c r="CY12" s="483"/>
      <c r="CZ12" s="483"/>
      <c r="DA12" s="483"/>
      <c r="DB12" s="483"/>
      <c r="DC12" s="483"/>
      <c r="DD12" s="483"/>
      <c r="DE12" s="483"/>
      <c r="DF12" s="483"/>
      <c r="DG12" s="484"/>
      <c r="DH12" s="91"/>
      <c r="DI12" s="91"/>
      <c r="DJ12" s="482" t="str">
        <f>HLOOKUP(Language!$B$2,Language!$C$12:$H$656,141)</f>
        <v>Afterwards:</v>
      </c>
      <c r="DK12" s="483"/>
      <c r="DL12" s="483"/>
      <c r="DM12" s="483"/>
      <c r="DN12" s="483"/>
      <c r="DO12" s="483"/>
      <c r="DP12" s="483"/>
      <c r="DQ12" s="483"/>
      <c r="DR12" s="483"/>
      <c r="DS12" s="483"/>
      <c r="DT12" s="483"/>
      <c r="DU12" s="483"/>
      <c r="DV12" s="483"/>
      <c r="DW12" s="484"/>
      <c r="DX12" s="5"/>
      <c r="EH12" s="488" t="b">
        <f>ISBLANK($H$10)</f>
        <v>1</v>
      </c>
      <c r="EI12" s="488"/>
      <c r="EJ12" s="488"/>
    </row>
    <row r="13" spans="1:140" ht="12" customHeight="1" thickBot="1" x14ac:dyDescent="0.35">
      <c r="A13" s="90"/>
      <c r="B13" s="373"/>
      <c r="C13" s="374"/>
      <c r="D13" s="374"/>
      <c r="E13" s="374"/>
      <c r="F13" s="374"/>
      <c r="G13" s="374"/>
      <c r="H13" s="374"/>
      <c r="I13" s="374"/>
      <c r="J13" s="374"/>
      <c r="K13" s="374"/>
      <c r="L13" s="374"/>
      <c r="M13" s="374"/>
      <c r="N13" s="374"/>
      <c r="O13" s="375"/>
      <c r="P13" s="91"/>
      <c r="Q13" s="91"/>
      <c r="R13" s="373"/>
      <c r="S13" s="374"/>
      <c r="T13" s="374"/>
      <c r="U13" s="374"/>
      <c r="V13" s="374"/>
      <c r="W13" s="374"/>
      <c r="X13" s="374"/>
      <c r="Y13" s="374"/>
      <c r="Z13" s="374"/>
      <c r="AA13" s="374"/>
      <c r="AB13" s="374"/>
      <c r="AC13" s="374"/>
      <c r="AD13" s="374"/>
      <c r="AE13" s="375"/>
      <c r="AF13" s="92"/>
      <c r="AG13" s="83"/>
      <c r="AH13" s="373"/>
      <c r="AI13" s="374"/>
      <c r="AJ13" s="374"/>
      <c r="AK13" s="374"/>
      <c r="AL13" s="374"/>
      <c r="AM13" s="374"/>
      <c r="AN13" s="374"/>
      <c r="AO13" s="374"/>
      <c r="AP13" s="374"/>
      <c r="AQ13" s="374"/>
      <c r="AR13" s="374"/>
      <c r="AS13" s="374"/>
      <c r="AT13" s="374"/>
      <c r="AU13" s="375"/>
      <c r="AV13" s="91"/>
      <c r="AW13" s="91"/>
      <c r="AX13" s="373"/>
      <c r="AY13" s="374"/>
      <c r="AZ13" s="374"/>
      <c r="BA13" s="374"/>
      <c r="BB13" s="374"/>
      <c r="BC13" s="374"/>
      <c r="BD13" s="374"/>
      <c r="BE13" s="374"/>
      <c r="BF13" s="374"/>
      <c r="BG13" s="374"/>
      <c r="BH13" s="374"/>
      <c r="BI13" s="374"/>
      <c r="BJ13" s="374"/>
      <c r="BK13" s="375"/>
      <c r="BL13" s="84"/>
      <c r="BM13" s="4"/>
      <c r="BN13" s="373"/>
      <c r="BO13" s="374"/>
      <c r="BP13" s="374"/>
      <c r="BQ13" s="374"/>
      <c r="BR13" s="374"/>
      <c r="BS13" s="374"/>
      <c r="BT13" s="374"/>
      <c r="BU13" s="374"/>
      <c r="BV13" s="374"/>
      <c r="BW13" s="374"/>
      <c r="BX13" s="374"/>
      <c r="BY13" s="374"/>
      <c r="BZ13" s="374"/>
      <c r="CA13" s="375"/>
      <c r="CB13" s="91"/>
      <c r="CC13" s="91"/>
      <c r="CD13" s="373"/>
      <c r="CE13" s="374"/>
      <c r="CF13" s="374"/>
      <c r="CG13" s="374"/>
      <c r="CH13" s="374"/>
      <c r="CI13" s="374"/>
      <c r="CJ13" s="374"/>
      <c r="CK13" s="374"/>
      <c r="CL13" s="374"/>
      <c r="CM13" s="374"/>
      <c r="CN13" s="374"/>
      <c r="CO13" s="374"/>
      <c r="CP13" s="374"/>
      <c r="CQ13" s="375"/>
      <c r="CR13" s="5"/>
      <c r="CS13" s="4"/>
      <c r="CT13" s="373"/>
      <c r="CU13" s="374"/>
      <c r="CV13" s="374"/>
      <c r="CW13" s="374"/>
      <c r="CX13" s="374"/>
      <c r="CY13" s="374"/>
      <c r="CZ13" s="374"/>
      <c r="DA13" s="374"/>
      <c r="DB13" s="374"/>
      <c r="DC13" s="374"/>
      <c r="DD13" s="374"/>
      <c r="DE13" s="374"/>
      <c r="DF13" s="374"/>
      <c r="DG13" s="375"/>
      <c r="DH13" s="91"/>
      <c r="DI13" s="91"/>
      <c r="DJ13" s="373"/>
      <c r="DK13" s="374"/>
      <c r="DL13" s="374"/>
      <c r="DM13" s="374"/>
      <c r="DN13" s="374"/>
      <c r="DO13" s="374"/>
      <c r="DP13" s="374"/>
      <c r="DQ13" s="374"/>
      <c r="DR13" s="374"/>
      <c r="DS13" s="374"/>
      <c r="DT13" s="374"/>
      <c r="DU13" s="374"/>
      <c r="DV13" s="374"/>
      <c r="DW13" s="375"/>
      <c r="DX13" s="5"/>
      <c r="EH13" s="142"/>
      <c r="EI13" s="142"/>
      <c r="EJ13" s="142"/>
    </row>
    <row r="14" spans="1:140" ht="12" customHeight="1" thickBot="1" x14ac:dyDescent="0.35">
      <c r="A14" s="90"/>
      <c r="B14" s="373"/>
      <c r="C14" s="374"/>
      <c r="D14" s="374"/>
      <c r="E14" s="374"/>
      <c r="F14" s="374"/>
      <c r="G14" s="374"/>
      <c r="H14" s="374"/>
      <c r="I14" s="374"/>
      <c r="J14" s="374"/>
      <c r="K14" s="374"/>
      <c r="L14" s="374"/>
      <c r="M14" s="374"/>
      <c r="N14" s="374"/>
      <c r="O14" s="375"/>
      <c r="P14" s="91"/>
      <c r="Q14" s="91"/>
      <c r="R14" s="373"/>
      <c r="S14" s="374"/>
      <c r="T14" s="374"/>
      <c r="U14" s="374"/>
      <c r="V14" s="374"/>
      <c r="W14" s="374"/>
      <c r="X14" s="374"/>
      <c r="Y14" s="374"/>
      <c r="Z14" s="374"/>
      <c r="AA14" s="374"/>
      <c r="AB14" s="374"/>
      <c r="AC14" s="374"/>
      <c r="AD14" s="374"/>
      <c r="AE14" s="375"/>
      <c r="AF14" s="92"/>
      <c r="AG14" s="83"/>
      <c r="AH14" s="373"/>
      <c r="AI14" s="374"/>
      <c r="AJ14" s="374"/>
      <c r="AK14" s="374"/>
      <c r="AL14" s="374"/>
      <c r="AM14" s="374"/>
      <c r="AN14" s="374"/>
      <c r="AO14" s="374"/>
      <c r="AP14" s="374"/>
      <c r="AQ14" s="374"/>
      <c r="AR14" s="374"/>
      <c r="AS14" s="374"/>
      <c r="AT14" s="374"/>
      <c r="AU14" s="375"/>
      <c r="AV14" s="91"/>
      <c r="AW14" s="91"/>
      <c r="AX14" s="373"/>
      <c r="AY14" s="374"/>
      <c r="AZ14" s="374"/>
      <c r="BA14" s="374"/>
      <c r="BB14" s="374"/>
      <c r="BC14" s="374"/>
      <c r="BD14" s="374"/>
      <c r="BE14" s="374"/>
      <c r="BF14" s="374"/>
      <c r="BG14" s="374"/>
      <c r="BH14" s="374"/>
      <c r="BI14" s="374"/>
      <c r="BJ14" s="374"/>
      <c r="BK14" s="375"/>
      <c r="BL14" s="84"/>
      <c r="BM14" s="31"/>
      <c r="BN14" s="373"/>
      <c r="BO14" s="374"/>
      <c r="BP14" s="374"/>
      <c r="BQ14" s="374"/>
      <c r="BR14" s="374"/>
      <c r="BS14" s="374"/>
      <c r="BT14" s="374"/>
      <c r="BU14" s="374"/>
      <c r="BV14" s="374"/>
      <c r="BW14" s="374"/>
      <c r="BX14" s="374"/>
      <c r="BY14" s="374"/>
      <c r="BZ14" s="374"/>
      <c r="CA14" s="375"/>
      <c r="CB14" s="91"/>
      <c r="CC14" s="91"/>
      <c r="CD14" s="373"/>
      <c r="CE14" s="374"/>
      <c r="CF14" s="374"/>
      <c r="CG14" s="374"/>
      <c r="CH14" s="374"/>
      <c r="CI14" s="374"/>
      <c r="CJ14" s="374"/>
      <c r="CK14" s="374"/>
      <c r="CL14" s="374"/>
      <c r="CM14" s="374"/>
      <c r="CN14" s="374"/>
      <c r="CO14" s="374"/>
      <c r="CP14" s="374"/>
      <c r="CQ14" s="375"/>
      <c r="CR14" s="32"/>
      <c r="CS14" s="31"/>
      <c r="CT14" s="373"/>
      <c r="CU14" s="374"/>
      <c r="CV14" s="374"/>
      <c r="CW14" s="374"/>
      <c r="CX14" s="374"/>
      <c r="CY14" s="374"/>
      <c r="CZ14" s="374"/>
      <c r="DA14" s="374"/>
      <c r="DB14" s="374"/>
      <c r="DC14" s="374"/>
      <c r="DD14" s="374"/>
      <c r="DE14" s="374"/>
      <c r="DF14" s="374"/>
      <c r="DG14" s="375"/>
      <c r="DH14" s="91"/>
      <c r="DI14" s="91"/>
      <c r="DJ14" s="373"/>
      <c r="DK14" s="374"/>
      <c r="DL14" s="374"/>
      <c r="DM14" s="374"/>
      <c r="DN14" s="374"/>
      <c r="DO14" s="374"/>
      <c r="DP14" s="374"/>
      <c r="DQ14" s="374"/>
      <c r="DR14" s="374"/>
      <c r="DS14" s="374"/>
      <c r="DT14" s="374"/>
      <c r="DU14" s="374"/>
      <c r="DV14" s="374"/>
      <c r="DW14" s="375"/>
      <c r="DX14" s="32"/>
      <c r="EH14" s="488" t="b">
        <f>ISBLANK($H$82)</f>
        <v>1</v>
      </c>
      <c r="EI14" s="488"/>
      <c r="EJ14" s="488"/>
    </row>
    <row r="15" spans="1:140" ht="12" customHeight="1" thickBot="1" x14ac:dyDescent="0.35">
      <c r="A15" s="90"/>
      <c r="B15" s="376"/>
      <c r="C15" s="377"/>
      <c r="D15" s="377"/>
      <c r="E15" s="377"/>
      <c r="F15" s="377"/>
      <c r="G15" s="377"/>
      <c r="H15" s="377"/>
      <c r="I15" s="377"/>
      <c r="J15" s="377"/>
      <c r="K15" s="377"/>
      <c r="L15" s="377"/>
      <c r="M15" s="377"/>
      <c r="N15" s="377"/>
      <c r="O15" s="378"/>
      <c r="P15" s="91"/>
      <c r="Q15" s="91"/>
      <c r="R15" s="376"/>
      <c r="S15" s="377"/>
      <c r="T15" s="377"/>
      <c r="U15" s="377"/>
      <c r="V15" s="377"/>
      <c r="W15" s="377"/>
      <c r="X15" s="377"/>
      <c r="Y15" s="377"/>
      <c r="Z15" s="377"/>
      <c r="AA15" s="377"/>
      <c r="AB15" s="377"/>
      <c r="AC15" s="377"/>
      <c r="AD15" s="377"/>
      <c r="AE15" s="378"/>
      <c r="AF15" s="92"/>
      <c r="AG15" s="83"/>
      <c r="AH15" s="376"/>
      <c r="AI15" s="377"/>
      <c r="AJ15" s="377"/>
      <c r="AK15" s="377"/>
      <c r="AL15" s="377"/>
      <c r="AM15" s="377"/>
      <c r="AN15" s="377"/>
      <c r="AO15" s="377"/>
      <c r="AP15" s="377"/>
      <c r="AQ15" s="377"/>
      <c r="AR15" s="377"/>
      <c r="AS15" s="377"/>
      <c r="AT15" s="377"/>
      <c r="AU15" s="378"/>
      <c r="AV15" s="91"/>
      <c r="AW15" s="91"/>
      <c r="AX15" s="376"/>
      <c r="AY15" s="377"/>
      <c r="AZ15" s="377"/>
      <c r="BA15" s="377"/>
      <c r="BB15" s="377"/>
      <c r="BC15" s="377"/>
      <c r="BD15" s="377"/>
      <c r="BE15" s="377"/>
      <c r="BF15" s="377"/>
      <c r="BG15" s="377"/>
      <c r="BH15" s="377"/>
      <c r="BI15" s="377"/>
      <c r="BJ15" s="377"/>
      <c r="BK15" s="378"/>
      <c r="BL15" s="84"/>
      <c r="BM15" s="4"/>
      <c r="BN15" s="376"/>
      <c r="BO15" s="377"/>
      <c r="BP15" s="377"/>
      <c r="BQ15" s="377"/>
      <c r="BR15" s="377"/>
      <c r="BS15" s="377"/>
      <c r="BT15" s="377"/>
      <c r="BU15" s="377"/>
      <c r="BV15" s="377"/>
      <c r="BW15" s="377"/>
      <c r="BX15" s="377"/>
      <c r="BY15" s="377"/>
      <c r="BZ15" s="377"/>
      <c r="CA15" s="378"/>
      <c r="CB15" s="91"/>
      <c r="CC15" s="91"/>
      <c r="CD15" s="376"/>
      <c r="CE15" s="377"/>
      <c r="CF15" s="377"/>
      <c r="CG15" s="377"/>
      <c r="CH15" s="377"/>
      <c r="CI15" s="377"/>
      <c r="CJ15" s="377"/>
      <c r="CK15" s="377"/>
      <c r="CL15" s="377"/>
      <c r="CM15" s="377"/>
      <c r="CN15" s="377"/>
      <c r="CO15" s="377"/>
      <c r="CP15" s="377"/>
      <c r="CQ15" s="378"/>
      <c r="CR15" s="5"/>
      <c r="CS15" s="4"/>
      <c r="CT15" s="376"/>
      <c r="CU15" s="377"/>
      <c r="CV15" s="377"/>
      <c r="CW15" s="377"/>
      <c r="CX15" s="377"/>
      <c r="CY15" s="377"/>
      <c r="CZ15" s="377"/>
      <c r="DA15" s="377"/>
      <c r="DB15" s="377"/>
      <c r="DC15" s="377"/>
      <c r="DD15" s="377"/>
      <c r="DE15" s="377"/>
      <c r="DF15" s="377"/>
      <c r="DG15" s="378"/>
      <c r="DH15" s="91"/>
      <c r="DI15" s="91"/>
      <c r="DJ15" s="376"/>
      <c r="DK15" s="377"/>
      <c r="DL15" s="377"/>
      <c r="DM15" s="377"/>
      <c r="DN15" s="377"/>
      <c r="DO15" s="377"/>
      <c r="DP15" s="377"/>
      <c r="DQ15" s="377"/>
      <c r="DR15" s="377"/>
      <c r="DS15" s="377"/>
      <c r="DT15" s="377"/>
      <c r="DU15" s="377"/>
      <c r="DV15" s="377"/>
      <c r="DW15" s="378"/>
      <c r="DX15" s="5"/>
      <c r="EH15" s="488" t="b">
        <f>ISBLANK($AN$82)</f>
        <v>1</v>
      </c>
      <c r="EI15" s="488"/>
      <c r="EJ15" s="488"/>
    </row>
    <row r="16" spans="1:140" ht="6" customHeight="1" x14ac:dyDescent="0.3">
      <c r="A16" s="90"/>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2"/>
      <c r="AG16" s="83"/>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84"/>
      <c r="BM16" s="4"/>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5"/>
      <c r="CS16" s="4"/>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5"/>
      <c r="EH16" s="488" t="b">
        <f>ISBLANK($BT$82)</f>
        <v>1</v>
      </c>
      <c r="EI16" s="488"/>
      <c r="EJ16" s="488"/>
    </row>
    <row r="17" spans="1:140" ht="12" customHeight="1" x14ac:dyDescent="0.3">
      <c r="A17" s="90"/>
      <c r="B17" s="492" t="s">
        <v>230</v>
      </c>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4"/>
      <c r="AF17" s="92"/>
      <c r="AG17" s="83"/>
      <c r="AH17" s="464"/>
      <c r="AI17" s="465"/>
      <c r="AJ17" s="465"/>
      <c r="AK17" s="465"/>
      <c r="AL17" s="465"/>
      <c r="AM17" s="465"/>
      <c r="AN17" s="465"/>
      <c r="AO17" s="465"/>
      <c r="AP17" s="465"/>
      <c r="AQ17" s="465"/>
      <c r="AR17" s="465"/>
      <c r="AS17" s="465"/>
      <c r="AT17" s="465"/>
      <c r="AU17" s="465"/>
      <c r="AV17" s="465"/>
      <c r="AW17" s="465"/>
      <c r="AX17" s="465"/>
      <c r="AY17" s="465"/>
      <c r="AZ17" s="465"/>
      <c r="BA17" s="465"/>
      <c r="BB17" s="465"/>
      <c r="BC17" s="465"/>
      <c r="BD17" s="465"/>
      <c r="BE17" s="465"/>
      <c r="BF17" s="465"/>
      <c r="BG17" s="465"/>
      <c r="BH17" s="465"/>
      <c r="BI17" s="465"/>
      <c r="BJ17" s="465"/>
      <c r="BK17" s="466"/>
      <c r="BL17" s="84"/>
      <c r="BM17" s="4"/>
      <c r="BN17" s="504"/>
      <c r="BO17" s="505"/>
      <c r="BP17" s="505"/>
      <c r="BQ17" s="505"/>
      <c r="BR17" s="505"/>
      <c r="BS17" s="505"/>
      <c r="BT17" s="505"/>
      <c r="BU17" s="505"/>
      <c r="BV17" s="505"/>
      <c r="BW17" s="505"/>
      <c r="BX17" s="505"/>
      <c r="BY17" s="505"/>
      <c r="BZ17" s="505"/>
      <c r="CA17" s="505"/>
      <c r="CB17" s="505"/>
      <c r="CC17" s="505"/>
      <c r="CD17" s="505"/>
      <c r="CE17" s="505"/>
      <c r="CF17" s="505"/>
      <c r="CG17" s="505"/>
      <c r="CH17" s="505"/>
      <c r="CI17" s="505"/>
      <c r="CJ17" s="505"/>
      <c r="CK17" s="505"/>
      <c r="CL17" s="505"/>
      <c r="CM17" s="505"/>
      <c r="CN17" s="505"/>
      <c r="CO17" s="505"/>
      <c r="CP17" s="505"/>
      <c r="CQ17" s="506"/>
      <c r="CR17" s="5"/>
      <c r="CS17" s="4"/>
      <c r="CT17" s="492"/>
      <c r="CU17" s="493"/>
      <c r="CV17" s="493"/>
      <c r="CW17" s="493"/>
      <c r="CX17" s="493"/>
      <c r="CY17" s="493"/>
      <c r="CZ17" s="493"/>
      <c r="DA17" s="493"/>
      <c r="DB17" s="493"/>
      <c r="DC17" s="493"/>
      <c r="DD17" s="493"/>
      <c r="DE17" s="493"/>
      <c r="DF17" s="493"/>
      <c r="DG17" s="493"/>
      <c r="DH17" s="493"/>
      <c r="DI17" s="493"/>
      <c r="DJ17" s="493"/>
      <c r="DK17" s="493"/>
      <c r="DL17" s="493"/>
      <c r="DM17" s="493"/>
      <c r="DN17" s="493"/>
      <c r="DO17" s="493"/>
      <c r="DP17" s="493"/>
      <c r="DQ17" s="493"/>
      <c r="DR17" s="493"/>
      <c r="DS17" s="493"/>
      <c r="DT17" s="493"/>
      <c r="DU17" s="493"/>
      <c r="DV17" s="493"/>
      <c r="DW17" s="494"/>
      <c r="DX17" s="5"/>
      <c r="EH17" s="142"/>
      <c r="EI17" s="142"/>
      <c r="EJ17" s="142"/>
    </row>
    <row r="18" spans="1:140" ht="12" customHeight="1" x14ac:dyDescent="0.3">
      <c r="A18" s="90"/>
      <c r="B18" s="495"/>
      <c r="C18" s="496"/>
      <c r="D18" s="496"/>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7"/>
      <c r="AF18" s="92"/>
      <c r="AG18" s="83"/>
      <c r="AH18" s="501"/>
      <c r="AI18" s="502"/>
      <c r="AJ18" s="502"/>
      <c r="AK18" s="502"/>
      <c r="AL18" s="502"/>
      <c r="AM18" s="502"/>
      <c r="AN18" s="502"/>
      <c r="AO18" s="502"/>
      <c r="AP18" s="502"/>
      <c r="AQ18" s="502"/>
      <c r="AR18" s="502"/>
      <c r="AS18" s="502"/>
      <c r="AT18" s="502"/>
      <c r="AU18" s="502"/>
      <c r="AV18" s="502"/>
      <c r="AW18" s="502"/>
      <c r="AX18" s="502"/>
      <c r="AY18" s="502"/>
      <c r="AZ18" s="502"/>
      <c r="BA18" s="502"/>
      <c r="BB18" s="502"/>
      <c r="BC18" s="502"/>
      <c r="BD18" s="502"/>
      <c r="BE18" s="502"/>
      <c r="BF18" s="502"/>
      <c r="BG18" s="502"/>
      <c r="BH18" s="502"/>
      <c r="BI18" s="502"/>
      <c r="BJ18" s="502"/>
      <c r="BK18" s="503"/>
      <c r="BL18" s="84"/>
      <c r="BM18" s="4"/>
      <c r="BN18" s="507"/>
      <c r="BO18" s="508"/>
      <c r="BP18" s="508"/>
      <c r="BQ18" s="508"/>
      <c r="BR18" s="508"/>
      <c r="BS18" s="508"/>
      <c r="BT18" s="508"/>
      <c r="BU18" s="508"/>
      <c r="BV18" s="508"/>
      <c r="BW18" s="508"/>
      <c r="BX18" s="508"/>
      <c r="BY18" s="508"/>
      <c r="BZ18" s="508"/>
      <c r="CA18" s="508"/>
      <c r="CB18" s="508"/>
      <c r="CC18" s="508"/>
      <c r="CD18" s="508"/>
      <c r="CE18" s="508"/>
      <c r="CF18" s="508"/>
      <c r="CG18" s="508"/>
      <c r="CH18" s="508"/>
      <c r="CI18" s="508"/>
      <c r="CJ18" s="508"/>
      <c r="CK18" s="508"/>
      <c r="CL18" s="508"/>
      <c r="CM18" s="508"/>
      <c r="CN18" s="508"/>
      <c r="CO18" s="508"/>
      <c r="CP18" s="508"/>
      <c r="CQ18" s="509"/>
      <c r="CR18" s="5"/>
      <c r="CS18" s="4"/>
      <c r="CT18" s="495"/>
      <c r="CU18" s="496"/>
      <c r="CV18" s="496"/>
      <c r="CW18" s="496"/>
      <c r="CX18" s="496"/>
      <c r="CY18" s="496"/>
      <c r="CZ18" s="496"/>
      <c r="DA18" s="496"/>
      <c r="DB18" s="496"/>
      <c r="DC18" s="496"/>
      <c r="DD18" s="496"/>
      <c r="DE18" s="496"/>
      <c r="DF18" s="496"/>
      <c r="DG18" s="496"/>
      <c r="DH18" s="496"/>
      <c r="DI18" s="496"/>
      <c r="DJ18" s="496"/>
      <c r="DK18" s="496"/>
      <c r="DL18" s="496"/>
      <c r="DM18" s="496"/>
      <c r="DN18" s="496"/>
      <c r="DO18" s="496"/>
      <c r="DP18" s="496"/>
      <c r="DQ18" s="496"/>
      <c r="DR18" s="496"/>
      <c r="DS18" s="496"/>
      <c r="DT18" s="496"/>
      <c r="DU18" s="496"/>
      <c r="DV18" s="496"/>
      <c r="DW18" s="497"/>
      <c r="DX18" s="5"/>
    </row>
    <row r="19" spans="1:140" ht="12" customHeight="1" x14ac:dyDescent="0.3">
      <c r="A19" s="90"/>
      <c r="B19" s="495"/>
      <c r="C19" s="496"/>
      <c r="D19" s="496"/>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7"/>
      <c r="AF19" s="92"/>
      <c r="AG19" s="83"/>
      <c r="AH19" s="501"/>
      <c r="AI19" s="502"/>
      <c r="AJ19" s="502"/>
      <c r="AK19" s="502"/>
      <c r="AL19" s="502"/>
      <c r="AM19" s="502"/>
      <c r="AN19" s="502"/>
      <c r="AO19" s="502"/>
      <c r="AP19" s="502"/>
      <c r="AQ19" s="502"/>
      <c r="AR19" s="502"/>
      <c r="AS19" s="502"/>
      <c r="AT19" s="502"/>
      <c r="AU19" s="502"/>
      <c r="AV19" s="502"/>
      <c r="AW19" s="502"/>
      <c r="AX19" s="502"/>
      <c r="AY19" s="502"/>
      <c r="AZ19" s="502"/>
      <c r="BA19" s="502"/>
      <c r="BB19" s="502"/>
      <c r="BC19" s="502"/>
      <c r="BD19" s="502"/>
      <c r="BE19" s="502"/>
      <c r="BF19" s="502"/>
      <c r="BG19" s="502"/>
      <c r="BH19" s="502"/>
      <c r="BI19" s="502"/>
      <c r="BJ19" s="502"/>
      <c r="BK19" s="503"/>
      <c r="BL19" s="84"/>
      <c r="BM19" s="4"/>
      <c r="BN19" s="507"/>
      <c r="BO19" s="508"/>
      <c r="BP19" s="508"/>
      <c r="BQ19" s="508"/>
      <c r="BR19" s="508"/>
      <c r="BS19" s="508"/>
      <c r="BT19" s="508"/>
      <c r="BU19" s="508"/>
      <c r="BV19" s="508"/>
      <c r="BW19" s="508"/>
      <c r="BX19" s="508"/>
      <c r="BY19" s="508"/>
      <c r="BZ19" s="508"/>
      <c r="CA19" s="508"/>
      <c r="CB19" s="508"/>
      <c r="CC19" s="508"/>
      <c r="CD19" s="508"/>
      <c r="CE19" s="508"/>
      <c r="CF19" s="508"/>
      <c r="CG19" s="508"/>
      <c r="CH19" s="508"/>
      <c r="CI19" s="508"/>
      <c r="CJ19" s="508"/>
      <c r="CK19" s="508"/>
      <c r="CL19" s="508"/>
      <c r="CM19" s="508"/>
      <c r="CN19" s="508"/>
      <c r="CO19" s="508"/>
      <c r="CP19" s="508"/>
      <c r="CQ19" s="509"/>
      <c r="CR19" s="5"/>
      <c r="CS19" s="4"/>
      <c r="CT19" s="495"/>
      <c r="CU19" s="496"/>
      <c r="CV19" s="496"/>
      <c r="CW19" s="496"/>
      <c r="CX19" s="496"/>
      <c r="CY19" s="496"/>
      <c r="CZ19" s="496"/>
      <c r="DA19" s="496"/>
      <c r="DB19" s="496"/>
      <c r="DC19" s="496"/>
      <c r="DD19" s="496"/>
      <c r="DE19" s="496"/>
      <c r="DF19" s="496"/>
      <c r="DG19" s="496"/>
      <c r="DH19" s="496"/>
      <c r="DI19" s="496"/>
      <c r="DJ19" s="496"/>
      <c r="DK19" s="496"/>
      <c r="DL19" s="496"/>
      <c r="DM19" s="496"/>
      <c r="DN19" s="496"/>
      <c r="DO19" s="496"/>
      <c r="DP19" s="496"/>
      <c r="DQ19" s="496"/>
      <c r="DR19" s="496"/>
      <c r="DS19" s="496"/>
      <c r="DT19" s="496"/>
      <c r="DU19" s="496"/>
      <c r="DV19" s="496"/>
      <c r="DW19" s="497"/>
      <c r="DX19" s="5"/>
    </row>
    <row r="20" spans="1:140" ht="12" customHeight="1" x14ac:dyDescent="0.3">
      <c r="A20" s="90"/>
      <c r="B20" s="495"/>
      <c r="C20" s="496"/>
      <c r="D20" s="496"/>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7"/>
      <c r="AF20" s="92"/>
      <c r="AG20" s="83"/>
      <c r="AH20" s="501"/>
      <c r="AI20" s="502"/>
      <c r="AJ20" s="502"/>
      <c r="AK20" s="502"/>
      <c r="AL20" s="502"/>
      <c r="AM20" s="502"/>
      <c r="AN20" s="502"/>
      <c r="AO20" s="502"/>
      <c r="AP20" s="502"/>
      <c r="AQ20" s="502"/>
      <c r="AR20" s="502"/>
      <c r="AS20" s="502"/>
      <c r="AT20" s="502"/>
      <c r="AU20" s="502"/>
      <c r="AV20" s="502"/>
      <c r="AW20" s="502"/>
      <c r="AX20" s="502"/>
      <c r="AY20" s="502"/>
      <c r="AZ20" s="502"/>
      <c r="BA20" s="502"/>
      <c r="BB20" s="502"/>
      <c r="BC20" s="502"/>
      <c r="BD20" s="502"/>
      <c r="BE20" s="502"/>
      <c r="BF20" s="502"/>
      <c r="BG20" s="502"/>
      <c r="BH20" s="502"/>
      <c r="BI20" s="502"/>
      <c r="BJ20" s="502"/>
      <c r="BK20" s="503"/>
      <c r="BL20" s="84"/>
      <c r="BM20" s="4"/>
      <c r="BN20" s="507"/>
      <c r="BO20" s="508"/>
      <c r="BP20" s="508"/>
      <c r="BQ20" s="508"/>
      <c r="BR20" s="508"/>
      <c r="BS20" s="508"/>
      <c r="BT20" s="508"/>
      <c r="BU20" s="508"/>
      <c r="BV20" s="508"/>
      <c r="BW20" s="508"/>
      <c r="BX20" s="508"/>
      <c r="BY20" s="508"/>
      <c r="BZ20" s="508"/>
      <c r="CA20" s="508"/>
      <c r="CB20" s="508"/>
      <c r="CC20" s="508"/>
      <c r="CD20" s="508"/>
      <c r="CE20" s="508"/>
      <c r="CF20" s="508"/>
      <c r="CG20" s="508"/>
      <c r="CH20" s="508"/>
      <c r="CI20" s="508"/>
      <c r="CJ20" s="508"/>
      <c r="CK20" s="508"/>
      <c r="CL20" s="508"/>
      <c r="CM20" s="508"/>
      <c r="CN20" s="508"/>
      <c r="CO20" s="508"/>
      <c r="CP20" s="508"/>
      <c r="CQ20" s="509"/>
      <c r="CR20" s="5"/>
      <c r="CS20" s="4"/>
      <c r="CT20" s="495"/>
      <c r="CU20" s="496"/>
      <c r="CV20" s="496"/>
      <c r="CW20" s="496"/>
      <c r="CX20" s="496"/>
      <c r="CY20" s="496"/>
      <c r="CZ20" s="496"/>
      <c r="DA20" s="496"/>
      <c r="DB20" s="496"/>
      <c r="DC20" s="496"/>
      <c r="DD20" s="496"/>
      <c r="DE20" s="496"/>
      <c r="DF20" s="496"/>
      <c r="DG20" s="496"/>
      <c r="DH20" s="496"/>
      <c r="DI20" s="496"/>
      <c r="DJ20" s="496"/>
      <c r="DK20" s="496"/>
      <c r="DL20" s="496"/>
      <c r="DM20" s="496"/>
      <c r="DN20" s="496"/>
      <c r="DO20" s="496"/>
      <c r="DP20" s="496"/>
      <c r="DQ20" s="496"/>
      <c r="DR20" s="496"/>
      <c r="DS20" s="496"/>
      <c r="DT20" s="496"/>
      <c r="DU20" s="496"/>
      <c r="DV20" s="496"/>
      <c r="DW20" s="497"/>
      <c r="DX20" s="5"/>
    </row>
    <row r="21" spans="1:140" ht="12" customHeight="1" x14ac:dyDescent="0.3">
      <c r="A21" s="90"/>
      <c r="B21" s="495"/>
      <c r="C21" s="496"/>
      <c r="D21" s="496"/>
      <c r="E21" s="496"/>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7"/>
      <c r="AF21" s="92"/>
      <c r="AG21" s="83"/>
      <c r="AH21" s="501"/>
      <c r="AI21" s="502"/>
      <c r="AJ21" s="502"/>
      <c r="AK21" s="502"/>
      <c r="AL21" s="502"/>
      <c r="AM21" s="502"/>
      <c r="AN21" s="502"/>
      <c r="AO21" s="502"/>
      <c r="AP21" s="502"/>
      <c r="AQ21" s="502"/>
      <c r="AR21" s="502"/>
      <c r="AS21" s="502"/>
      <c r="AT21" s="502"/>
      <c r="AU21" s="502"/>
      <c r="AV21" s="502"/>
      <c r="AW21" s="502"/>
      <c r="AX21" s="502"/>
      <c r="AY21" s="502"/>
      <c r="AZ21" s="502"/>
      <c r="BA21" s="502"/>
      <c r="BB21" s="502"/>
      <c r="BC21" s="502"/>
      <c r="BD21" s="502"/>
      <c r="BE21" s="502"/>
      <c r="BF21" s="502"/>
      <c r="BG21" s="502"/>
      <c r="BH21" s="502"/>
      <c r="BI21" s="502"/>
      <c r="BJ21" s="502"/>
      <c r="BK21" s="503"/>
      <c r="BL21" s="84"/>
      <c r="BM21" s="4"/>
      <c r="BN21" s="507"/>
      <c r="BO21" s="508"/>
      <c r="BP21" s="508"/>
      <c r="BQ21" s="508"/>
      <c r="BR21" s="508"/>
      <c r="BS21" s="508"/>
      <c r="BT21" s="508"/>
      <c r="BU21" s="508"/>
      <c r="BV21" s="508"/>
      <c r="BW21" s="508"/>
      <c r="BX21" s="508"/>
      <c r="BY21" s="508"/>
      <c r="BZ21" s="508"/>
      <c r="CA21" s="508"/>
      <c r="CB21" s="508"/>
      <c r="CC21" s="508"/>
      <c r="CD21" s="508"/>
      <c r="CE21" s="508"/>
      <c r="CF21" s="508"/>
      <c r="CG21" s="508"/>
      <c r="CH21" s="508"/>
      <c r="CI21" s="508"/>
      <c r="CJ21" s="508"/>
      <c r="CK21" s="508"/>
      <c r="CL21" s="508"/>
      <c r="CM21" s="508"/>
      <c r="CN21" s="508"/>
      <c r="CO21" s="508"/>
      <c r="CP21" s="508"/>
      <c r="CQ21" s="509"/>
      <c r="CR21" s="5"/>
      <c r="CS21" s="4"/>
      <c r="CT21" s="495"/>
      <c r="CU21" s="496"/>
      <c r="CV21" s="496"/>
      <c r="CW21" s="496"/>
      <c r="CX21" s="496"/>
      <c r="CY21" s="496"/>
      <c r="CZ21" s="496"/>
      <c r="DA21" s="496"/>
      <c r="DB21" s="496"/>
      <c r="DC21" s="496"/>
      <c r="DD21" s="496"/>
      <c r="DE21" s="496"/>
      <c r="DF21" s="496"/>
      <c r="DG21" s="496"/>
      <c r="DH21" s="496"/>
      <c r="DI21" s="496"/>
      <c r="DJ21" s="496"/>
      <c r="DK21" s="496"/>
      <c r="DL21" s="496"/>
      <c r="DM21" s="496"/>
      <c r="DN21" s="496"/>
      <c r="DO21" s="496"/>
      <c r="DP21" s="496"/>
      <c r="DQ21" s="496"/>
      <c r="DR21" s="496"/>
      <c r="DS21" s="496"/>
      <c r="DT21" s="496"/>
      <c r="DU21" s="496"/>
      <c r="DV21" s="496"/>
      <c r="DW21" s="497"/>
      <c r="DX21" s="5"/>
    </row>
    <row r="22" spans="1:140" ht="12" customHeight="1" x14ac:dyDescent="0.3">
      <c r="A22" s="90"/>
      <c r="B22" s="495"/>
      <c r="C22" s="496"/>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7"/>
      <c r="AF22" s="92"/>
      <c r="AG22" s="83"/>
      <c r="AH22" s="501"/>
      <c r="AI22" s="502"/>
      <c r="AJ22" s="502"/>
      <c r="AK22" s="502"/>
      <c r="AL22" s="502"/>
      <c r="AM22" s="502"/>
      <c r="AN22" s="502"/>
      <c r="AO22" s="502"/>
      <c r="AP22" s="502"/>
      <c r="AQ22" s="502"/>
      <c r="AR22" s="502"/>
      <c r="AS22" s="502"/>
      <c r="AT22" s="502"/>
      <c r="AU22" s="502"/>
      <c r="AV22" s="502"/>
      <c r="AW22" s="502"/>
      <c r="AX22" s="502"/>
      <c r="AY22" s="502"/>
      <c r="AZ22" s="502"/>
      <c r="BA22" s="502"/>
      <c r="BB22" s="502"/>
      <c r="BC22" s="502"/>
      <c r="BD22" s="502"/>
      <c r="BE22" s="502"/>
      <c r="BF22" s="502"/>
      <c r="BG22" s="502"/>
      <c r="BH22" s="502"/>
      <c r="BI22" s="502"/>
      <c r="BJ22" s="502"/>
      <c r="BK22" s="503"/>
      <c r="BL22" s="84"/>
      <c r="BM22" s="4"/>
      <c r="BN22" s="507"/>
      <c r="BO22" s="508"/>
      <c r="BP22" s="508"/>
      <c r="BQ22" s="508"/>
      <c r="BR22" s="508"/>
      <c r="BS22" s="508"/>
      <c r="BT22" s="508"/>
      <c r="BU22" s="508"/>
      <c r="BV22" s="508"/>
      <c r="BW22" s="508"/>
      <c r="BX22" s="508"/>
      <c r="BY22" s="508"/>
      <c r="BZ22" s="508"/>
      <c r="CA22" s="508"/>
      <c r="CB22" s="508"/>
      <c r="CC22" s="508"/>
      <c r="CD22" s="508"/>
      <c r="CE22" s="508"/>
      <c r="CF22" s="508"/>
      <c r="CG22" s="508"/>
      <c r="CH22" s="508"/>
      <c r="CI22" s="508"/>
      <c r="CJ22" s="508"/>
      <c r="CK22" s="508"/>
      <c r="CL22" s="508"/>
      <c r="CM22" s="508"/>
      <c r="CN22" s="508"/>
      <c r="CO22" s="508"/>
      <c r="CP22" s="508"/>
      <c r="CQ22" s="509"/>
      <c r="CR22" s="5"/>
      <c r="CS22" s="4"/>
      <c r="CT22" s="495"/>
      <c r="CU22" s="496"/>
      <c r="CV22" s="496"/>
      <c r="CW22" s="496"/>
      <c r="CX22" s="496"/>
      <c r="CY22" s="496"/>
      <c r="CZ22" s="496"/>
      <c r="DA22" s="496"/>
      <c r="DB22" s="496"/>
      <c r="DC22" s="496"/>
      <c r="DD22" s="496"/>
      <c r="DE22" s="496"/>
      <c r="DF22" s="496"/>
      <c r="DG22" s="496"/>
      <c r="DH22" s="496"/>
      <c r="DI22" s="496"/>
      <c r="DJ22" s="496"/>
      <c r="DK22" s="496"/>
      <c r="DL22" s="496"/>
      <c r="DM22" s="496"/>
      <c r="DN22" s="496"/>
      <c r="DO22" s="496"/>
      <c r="DP22" s="496"/>
      <c r="DQ22" s="496"/>
      <c r="DR22" s="496"/>
      <c r="DS22" s="496"/>
      <c r="DT22" s="496"/>
      <c r="DU22" s="496"/>
      <c r="DV22" s="496"/>
      <c r="DW22" s="497"/>
      <c r="DX22" s="5"/>
    </row>
    <row r="23" spans="1:140" ht="12" customHeight="1" x14ac:dyDescent="0.3">
      <c r="A23" s="90"/>
      <c r="B23" s="495"/>
      <c r="C23" s="496"/>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7"/>
      <c r="AF23" s="92"/>
      <c r="AG23" s="83"/>
      <c r="AH23" s="501"/>
      <c r="AI23" s="502"/>
      <c r="AJ23" s="502"/>
      <c r="AK23" s="502"/>
      <c r="AL23" s="502"/>
      <c r="AM23" s="502"/>
      <c r="AN23" s="502"/>
      <c r="AO23" s="502"/>
      <c r="AP23" s="502"/>
      <c r="AQ23" s="502"/>
      <c r="AR23" s="502"/>
      <c r="AS23" s="502"/>
      <c r="AT23" s="502"/>
      <c r="AU23" s="502"/>
      <c r="AV23" s="502"/>
      <c r="AW23" s="502"/>
      <c r="AX23" s="502"/>
      <c r="AY23" s="502"/>
      <c r="AZ23" s="502"/>
      <c r="BA23" s="502"/>
      <c r="BB23" s="502"/>
      <c r="BC23" s="502"/>
      <c r="BD23" s="502"/>
      <c r="BE23" s="502"/>
      <c r="BF23" s="502"/>
      <c r="BG23" s="502"/>
      <c r="BH23" s="502"/>
      <c r="BI23" s="502"/>
      <c r="BJ23" s="502"/>
      <c r="BK23" s="503"/>
      <c r="BL23" s="84"/>
      <c r="BM23" s="4"/>
      <c r="BN23" s="507"/>
      <c r="BO23" s="508"/>
      <c r="BP23" s="508"/>
      <c r="BQ23" s="508"/>
      <c r="BR23" s="508"/>
      <c r="BS23" s="508"/>
      <c r="BT23" s="508"/>
      <c r="BU23" s="508"/>
      <c r="BV23" s="508"/>
      <c r="BW23" s="508"/>
      <c r="BX23" s="508"/>
      <c r="BY23" s="508"/>
      <c r="BZ23" s="508"/>
      <c r="CA23" s="508"/>
      <c r="CB23" s="508"/>
      <c r="CC23" s="508"/>
      <c r="CD23" s="508"/>
      <c r="CE23" s="508"/>
      <c r="CF23" s="508"/>
      <c r="CG23" s="508"/>
      <c r="CH23" s="508"/>
      <c r="CI23" s="508"/>
      <c r="CJ23" s="508"/>
      <c r="CK23" s="508"/>
      <c r="CL23" s="508"/>
      <c r="CM23" s="508"/>
      <c r="CN23" s="508"/>
      <c r="CO23" s="508"/>
      <c r="CP23" s="508"/>
      <c r="CQ23" s="509"/>
      <c r="CR23" s="5"/>
      <c r="CS23" s="4"/>
      <c r="CT23" s="495"/>
      <c r="CU23" s="496"/>
      <c r="CV23" s="496"/>
      <c r="CW23" s="496"/>
      <c r="CX23" s="496"/>
      <c r="CY23" s="496"/>
      <c r="CZ23" s="496"/>
      <c r="DA23" s="496"/>
      <c r="DB23" s="496"/>
      <c r="DC23" s="496"/>
      <c r="DD23" s="496"/>
      <c r="DE23" s="496"/>
      <c r="DF23" s="496"/>
      <c r="DG23" s="496"/>
      <c r="DH23" s="496"/>
      <c r="DI23" s="496"/>
      <c r="DJ23" s="496"/>
      <c r="DK23" s="496"/>
      <c r="DL23" s="496"/>
      <c r="DM23" s="496"/>
      <c r="DN23" s="496"/>
      <c r="DO23" s="496"/>
      <c r="DP23" s="496"/>
      <c r="DQ23" s="496"/>
      <c r="DR23" s="496"/>
      <c r="DS23" s="496"/>
      <c r="DT23" s="496"/>
      <c r="DU23" s="496"/>
      <c r="DV23" s="496"/>
      <c r="DW23" s="497"/>
      <c r="DX23" s="5"/>
    </row>
    <row r="24" spans="1:140" ht="12" customHeight="1" x14ac:dyDescent="0.3">
      <c r="A24" s="90"/>
      <c r="B24" s="495"/>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7"/>
      <c r="AF24" s="92"/>
      <c r="AG24" s="83"/>
      <c r="AH24" s="501"/>
      <c r="AI24" s="502"/>
      <c r="AJ24" s="502"/>
      <c r="AK24" s="502"/>
      <c r="AL24" s="502"/>
      <c r="AM24" s="502"/>
      <c r="AN24" s="502"/>
      <c r="AO24" s="502"/>
      <c r="AP24" s="502"/>
      <c r="AQ24" s="502"/>
      <c r="AR24" s="502"/>
      <c r="AS24" s="502"/>
      <c r="AT24" s="502"/>
      <c r="AU24" s="502"/>
      <c r="AV24" s="502"/>
      <c r="AW24" s="502"/>
      <c r="AX24" s="502"/>
      <c r="AY24" s="502"/>
      <c r="AZ24" s="502"/>
      <c r="BA24" s="502"/>
      <c r="BB24" s="502"/>
      <c r="BC24" s="502"/>
      <c r="BD24" s="502"/>
      <c r="BE24" s="502"/>
      <c r="BF24" s="502"/>
      <c r="BG24" s="502"/>
      <c r="BH24" s="502"/>
      <c r="BI24" s="502"/>
      <c r="BJ24" s="502"/>
      <c r="BK24" s="503"/>
      <c r="BL24" s="84"/>
      <c r="BM24" s="39"/>
      <c r="BN24" s="507"/>
      <c r="BO24" s="508"/>
      <c r="BP24" s="508"/>
      <c r="BQ24" s="508"/>
      <c r="BR24" s="508"/>
      <c r="BS24" s="508"/>
      <c r="BT24" s="508"/>
      <c r="BU24" s="508"/>
      <c r="BV24" s="508"/>
      <c r="BW24" s="508"/>
      <c r="BX24" s="508"/>
      <c r="BY24" s="508"/>
      <c r="BZ24" s="508"/>
      <c r="CA24" s="508"/>
      <c r="CB24" s="508"/>
      <c r="CC24" s="508"/>
      <c r="CD24" s="508"/>
      <c r="CE24" s="508"/>
      <c r="CF24" s="508"/>
      <c r="CG24" s="508"/>
      <c r="CH24" s="508"/>
      <c r="CI24" s="508"/>
      <c r="CJ24" s="508"/>
      <c r="CK24" s="508"/>
      <c r="CL24" s="508"/>
      <c r="CM24" s="508"/>
      <c r="CN24" s="508"/>
      <c r="CO24" s="508"/>
      <c r="CP24" s="508"/>
      <c r="CQ24" s="509"/>
      <c r="CR24" s="49"/>
      <c r="CS24" s="39"/>
      <c r="CT24" s="495"/>
      <c r="CU24" s="496"/>
      <c r="CV24" s="496"/>
      <c r="CW24" s="496"/>
      <c r="CX24" s="496"/>
      <c r="CY24" s="496"/>
      <c r="CZ24" s="496"/>
      <c r="DA24" s="496"/>
      <c r="DB24" s="496"/>
      <c r="DC24" s="496"/>
      <c r="DD24" s="496"/>
      <c r="DE24" s="496"/>
      <c r="DF24" s="496"/>
      <c r="DG24" s="496"/>
      <c r="DH24" s="496"/>
      <c r="DI24" s="496"/>
      <c r="DJ24" s="496"/>
      <c r="DK24" s="496"/>
      <c r="DL24" s="496"/>
      <c r="DM24" s="496"/>
      <c r="DN24" s="496"/>
      <c r="DO24" s="496"/>
      <c r="DP24" s="496"/>
      <c r="DQ24" s="496"/>
      <c r="DR24" s="496"/>
      <c r="DS24" s="496"/>
      <c r="DT24" s="496"/>
      <c r="DU24" s="496"/>
      <c r="DV24" s="496"/>
      <c r="DW24" s="497"/>
      <c r="DX24" s="49"/>
    </row>
    <row r="25" spans="1:140" ht="12" customHeight="1" x14ac:dyDescent="0.3">
      <c r="A25" s="90"/>
      <c r="B25" s="495"/>
      <c r="C25" s="496"/>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7"/>
      <c r="AF25" s="92"/>
      <c r="AG25" s="83"/>
      <c r="AH25" s="501"/>
      <c r="AI25" s="502"/>
      <c r="AJ25" s="502"/>
      <c r="AK25" s="502"/>
      <c r="AL25" s="502"/>
      <c r="AM25" s="502"/>
      <c r="AN25" s="502"/>
      <c r="AO25" s="502"/>
      <c r="AP25" s="502"/>
      <c r="AQ25" s="502"/>
      <c r="AR25" s="502"/>
      <c r="AS25" s="502"/>
      <c r="AT25" s="502"/>
      <c r="AU25" s="502"/>
      <c r="AV25" s="502"/>
      <c r="AW25" s="502"/>
      <c r="AX25" s="502"/>
      <c r="AY25" s="502"/>
      <c r="AZ25" s="502"/>
      <c r="BA25" s="502"/>
      <c r="BB25" s="502"/>
      <c r="BC25" s="502"/>
      <c r="BD25" s="502"/>
      <c r="BE25" s="502"/>
      <c r="BF25" s="502"/>
      <c r="BG25" s="502"/>
      <c r="BH25" s="502"/>
      <c r="BI25" s="502"/>
      <c r="BJ25" s="502"/>
      <c r="BK25" s="503"/>
      <c r="BL25" s="84"/>
      <c r="BM25" s="39"/>
      <c r="BN25" s="507"/>
      <c r="BO25" s="508"/>
      <c r="BP25" s="508"/>
      <c r="BQ25" s="508"/>
      <c r="BR25" s="508"/>
      <c r="BS25" s="508"/>
      <c r="BT25" s="508"/>
      <c r="BU25" s="508"/>
      <c r="BV25" s="508"/>
      <c r="BW25" s="508"/>
      <c r="BX25" s="508"/>
      <c r="BY25" s="508"/>
      <c r="BZ25" s="508"/>
      <c r="CA25" s="508"/>
      <c r="CB25" s="508"/>
      <c r="CC25" s="508"/>
      <c r="CD25" s="508"/>
      <c r="CE25" s="508"/>
      <c r="CF25" s="508"/>
      <c r="CG25" s="508"/>
      <c r="CH25" s="508"/>
      <c r="CI25" s="508"/>
      <c r="CJ25" s="508"/>
      <c r="CK25" s="508"/>
      <c r="CL25" s="508"/>
      <c r="CM25" s="508"/>
      <c r="CN25" s="508"/>
      <c r="CO25" s="508"/>
      <c r="CP25" s="508"/>
      <c r="CQ25" s="509"/>
      <c r="CR25" s="49"/>
      <c r="CS25" s="39"/>
      <c r="CT25" s="495"/>
      <c r="CU25" s="496"/>
      <c r="CV25" s="496"/>
      <c r="CW25" s="496"/>
      <c r="CX25" s="496"/>
      <c r="CY25" s="496"/>
      <c r="CZ25" s="496"/>
      <c r="DA25" s="496"/>
      <c r="DB25" s="496"/>
      <c r="DC25" s="496"/>
      <c r="DD25" s="496"/>
      <c r="DE25" s="496"/>
      <c r="DF25" s="496"/>
      <c r="DG25" s="496"/>
      <c r="DH25" s="496"/>
      <c r="DI25" s="496"/>
      <c r="DJ25" s="496"/>
      <c r="DK25" s="496"/>
      <c r="DL25" s="496"/>
      <c r="DM25" s="496"/>
      <c r="DN25" s="496"/>
      <c r="DO25" s="496"/>
      <c r="DP25" s="496"/>
      <c r="DQ25" s="496"/>
      <c r="DR25" s="496"/>
      <c r="DS25" s="496"/>
      <c r="DT25" s="496"/>
      <c r="DU25" s="496"/>
      <c r="DV25" s="496"/>
      <c r="DW25" s="497"/>
      <c r="DX25" s="49"/>
    </row>
    <row r="26" spans="1:140" ht="12" customHeight="1" x14ac:dyDescent="0.3">
      <c r="A26" s="90"/>
      <c r="B26" s="495"/>
      <c r="C26" s="496"/>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7"/>
      <c r="AF26" s="92"/>
      <c r="AG26" s="83"/>
      <c r="AH26" s="501"/>
      <c r="AI26" s="502"/>
      <c r="AJ26" s="502"/>
      <c r="AK26" s="502"/>
      <c r="AL26" s="502"/>
      <c r="AM26" s="502"/>
      <c r="AN26" s="502"/>
      <c r="AO26" s="502"/>
      <c r="AP26" s="502"/>
      <c r="AQ26" s="502"/>
      <c r="AR26" s="502"/>
      <c r="AS26" s="502"/>
      <c r="AT26" s="502"/>
      <c r="AU26" s="502"/>
      <c r="AV26" s="502"/>
      <c r="AW26" s="502"/>
      <c r="AX26" s="502"/>
      <c r="AY26" s="502"/>
      <c r="AZ26" s="502"/>
      <c r="BA26" s="502"/>
      <c r="BB26" s="502"/>
      <c r="BC26" s="502"/>
      <c r="BD26" s="502"/>
      <c r="BE26" s="502"/>
      <c r="BF26" s="502"/>
      <c r="BG26" s="502"/>
      <c r="BH26" s="502"/>
      <c r="BI26" s="502"/>
      <c r="BJ26" s="502"/>
      <c r="BK26" s="503"/>
      <c r="BL26" s="84"/>
      <c r="BM26" s="50"/>
      <c r="BN26" s="507"/>
      <c r="BO26" s="508"/>
      <c r="BP26" s="508"/>
      <c r="BQ26" s="508"/>
      <c r="BR26" s="508"/>
      <c r="BS26" s="508"/>
      <c r="BT26" s="508"/>
      <c r="BU26" s="508"/>
      <c r="BV26" s="508"/>
      <c r="BW26" s="508"/>
      <c r="BX26" s="508"/>
      <c r="BY26" s="508"/>
      <c r="BZ26" s="508"/>
      <c r="CA26" s="508"/>
      <c r="CB26" s="508"/>
      <c r="CC26" s="508"/>
      <c r="CD26" s="508"/>
      <c r="CE26" s="508"/>
      <c r="CF26" s="508"/>
      <c r="CG26" s="508"/>
      <c r="CH26" s="508"/>
      <c r="CI26" s="508"/>
      <c r="CJ26" s="508"/>
      <c r="CK26" s="508"/>
      <c r="CL26" s="508"/>
      <c r="CM26" s="508"/>
      <c r="CN26" s="508"/>
      <c r="CO26" s="508"/>
      <c r="CP26" s="508"/>
      <c r="CQ26" s="509"/>
      <c r="CR26" s="51"/>
      <c r="CS26" s="50"/>
      <c r="CT26" s="495"/>
      <c r="CU26" s="496"/>
      <c r="CV26" s="496"/>
      <c r="CW26" s="496"/>
      <c r="CX26" s="496"/>
      <c r="CY26" s="496"/>
      <c r="CZ26" s="496"/>
      <c r="DA26" s="496"/>
      <c r="DB26" s="496"/>
      <c r="DC26" s="496"/>
      <c r="DD26" s="496"/>
      <c r="DE26" s="496"/>
      <c r="DF26" s="496"/>
      <c r="DG26" s="496"/>
      <c r="DH26" s="496"/>
      <c r="DI26" s="496"/>
      <c r="DJ26" s="496"/>
      <c r="DK26" s="496"/>
      <c r="DL26" s="496"/>
      <c r="DM26" s="496"/>
      <c r="DN26" s="496"/>
      <c r="DO26" s="496"/>
      <c r="DP26" s="496"/>
      <c r="DQ26" s="496"/>
      <c r="DR26" s="496"/>
      <c r="DS26" s="496"/>
      <c r="DT26" s="496"/>
      <c r="DU26" s="496"/>
      <c r="DV26" s="496"/>
      <c r="DW26" s="497"/>
      <c r="DX26" s="51"/>
    </row>
    <row r="27" spans="1:140" ht="12" customHeight="1" x14ac:dyDescent="0.3">
      <c r="A27" s="90"/>
      <c r="B27" s="495"/>
      <c r="C27" s="496"/>
      <c r="D27" s="496"/>
      <c r="E27" s="49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7"/>
      <c r="AF27" s="92"/>
      <c r="AG27" s="83"/>
      <c r="AH27" s="501"/>
      <c r="AI27" s="502"/>
      <c r="AJ27" s="502"/>
      <c r="AK27" s="502"/>
      <c r="AL27" s="502"/>
      <c r="AM27" s="502"/>
      <c r="AN27" s="502"/>
      <c r="AO27" s="502"/>
      <c r="AP27" s="502"/>
      <c r="AQ27" s="502"/>
      <c r="AR27" s="502"/>
      <c r="AS27" s="502"/>
      <c r="AT27" s="502"/>
      <c r="AU27" s="502"/>
      <c r="AV27" s="502"/>
      <c r="AW27" s="502"/>
      <c r="AX27" s="502"/>
      <c r="AY27" s="502"/>
      <c r="AZ27" s="502"/>
      <c r="BA27" s="502"/>
      <c r="BB27" s="502"/>
      <c r="BC27" s="502"/>
      <c r="BD27" s="502"/>
      <c r="BE27" s="502"/>
      <c r="BF27" s="502"/>
      <c r="BG27" s="502"/>
      <c r="BH27" s="502"/>
      <c r="BI27" s="502"/>
      <c r="BJ27" s="502"/>
      <c r="BK27" s="503"/>
      <c r="BL27" s="84"/>
      <c r="BM27" s="39"/>
      <c r="BN27" s="507"/>
      <c r="BO27" s="508"/>
      <c r="BP27" s="508"/>
      <c r="BQ27" s="508"/>
      <c r="BR27" s="508"/>
      <c r="BS27" s="508"/>
      <c r="BT27" s="508"/>
      <c r="BU27" s="508"/>
      <c r="BV27" s="508"/>
      <c r="BW27" s="508"/>
      <c r="BX27" s="508"/>
      <c r="BY27" s="508"/>
      <c r="BZ27" s="508"/>
      <c r="CA27" s="508"/>
      <c r="CB27" s="508"/>
      <c r="CC27" s="508"/>
      <c r="CD27" s="508"/>
      <c r="CE27" s="508"/>
      <c r="CF27" s="508"/>
      <c r="CG27" s="508"/>
      <c r="CH27" s="508"/>
      <c r="CI27" s="508"/>
      <c r="CJ27" s="508"/>
      <c r="CK27" s="508"/>
      <c r="CL27" s="508"/>
      <c r="CM27" s="508"/>
      <c r="CN27" s="508"/>
      <c r="CO27" s="508"/>
      <c r="CP27" s="508"/>
      <c r="CQ27" s="509"/>
      <c r="CR27" s="49"/>
      <c r="CS27" s="39"/>
      <c r="CT27" s="495"/>
      <c r="CU27" s="496"/>
      <c r="CV27" s="496"/>
      <c r="CW27" s="496"/>
      <c r="CX27" s="496"/>
      <c r="CY27" s="496"/>
      <c r="CZ27" s="496"/>
      <c r="DA27" s="496"/>
      <c r="DB27" s="496"/>
      <c r="DC27" s="496"/>
      <c r="DD27" s="496"/>
      <c r="DE27" s="496"/>
      <c r="DF27" s="496"/>
      <c r="DG27" s="496"/>
      <c r="DH27" s="496"/>
      <c r="DI27" s="496"/>
      <c r="DJ27" s="496"/>
      <c r="DK27" s="496"/>
      <c r="DL27" s="496"/>
      <c r="DM27" s="496"/>
      <c r="DN27" s="496"/>
      <c r="DO27" s="496"/>
      <c r="DP27" s="496"/>
      <c r="DQ27" s="496"/>
      <c r="DR27" s="496"/>
      <c r="DS27" s="496"/>
      <c r="DT27" s="496"/>
      <c r="DU27" s="496"/>
      <c r="DV27" s="496"/>
      <c r="DW27" s="497"/>
      <c r="DX27" s="49"/>
    </row>
    <row r="28" spans="1:140" ht="12" customHeight="1" x14ac:dyDescent="0.3">
      <c r="A28" s="90"/>
      <c r="B28" s="495"/>
      <c r="C28" s="496"/>
      <c r="D28" s="496"/>
      <c r="E28" s="49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7"/>
      <c r="AF28" s="92"/>
      <c r="AG28" s="83"/>
      <c r="AH28" s="501"/>
      <c r="AI28" s="502"/>
      <c r="AJ28" s="502"/>
      <c r="AK28" s="502"/>
      <c r="AL28" s="502"/>
      <c r="AM28" s="502"/>
      <c r="AN28" s="502"/>
      <c r="AO28" s="502"/>
      <c r="AP28" s="502"/>
      <c r="AQ28" s="502"/>
      <c r="AR28" s="502"/>
      <c r="AS28" s="502"/>
      <c r="AT28" s="502"/>
      <c r="AU28" s="502"/>
      <c r="AV28" s="502"/>
      <c r="AW28" s="502"/>
      <c r="AX28" s="502"/>
      <c r="AY28" s="502"/>
      <c r="AZ28" s="502"/>
      <c r="BA28" s="502"/>
      <c r="BB28" s="502"/>
      <c r="BC28" s="502"/>
      <c r="BD28" s="502"/>
      <c r="BE28" s="502"/>
      <c r="BF28" s="502"/>
      <c r="BG28" s="502"/>
      <c r="BH28" s="502"/>
      <c r="BI28" s="502"/>
      <c r="BJ28" s="502"/>
      <c r="BK28" s="503"/>
      <c r="BL28" s="84"/>
      <c r="BM28" s="31"/>
      <c r="BN28" s="507"/>
      <c r="BO28" s="508"/>
      <c r="BP28" s="508"/>
      <c r="BQ28" s="508"/>
      <c r="BR28" s="508"/>
      <c r="BS28" s="508"/>
      <c r="BT28" s="508"/>
      <c r="BU28" s="508"/>
      <c r="BV28" s="508"/>
      <c r="BW28" s="508"/>
      <c r="BX28" s="508"/>
      <c r="BY28" s="508"/>
      <c r="BZ28" s="508"/>
      <c r="CA28" s="508"/>
      <c r="CB28" s="508"/>
      <c r="CC28" s="508"/>
      <c r="CD28" s="508"/>
      <c r="CE28" s="508"/>
      <c r="CF28" s="508"/>
      <c r="CG28" s="508"/>
      <c r="CH28" s="508"/>
      <c r="CI28" s="508"/>
      <c r="CJ28" s="508"/>
      <c r="CK28" s="508"/>
      <c r="CL28" s="508"/>
      <c r="CM28" s="508"/>
      <c r="CN28" s="508"/>
      <c r="CO28" s="508"/>
      <c r="CP28" s="508"/>
      <c r="CQ28" s="509"/>
      <c r="CR28" s="32"/>
      <c r="CS28" s="31"/>
      <c r="CT28" s="495"/>
      <c r="CU28" s="496"/>
      <c r="CV28" s="496"/>
      <c r="CW28" s="496"/>
      <c r="CX28" s="496"/>
      <c r="CY28" s="496"/>
      <c r="CZ28" s="496"/>
      <c r="DA28" s="496"/>
      <c r="DB28" s="496"/>
      <c r="DC28" s="496"/>
      <c r="DD28" s="496"/>
      <c r="DE28" s="496"/>
      <c r="DF28" s="496"/>
      <c r="DG28" s="496"/>
      <c r="DH28" s="496"/>
      <c r="DI28" s="496"/>
      <c r="DJ28" s="496"/>
      <c r="DK28" s="496"/>
      <c r="DL28" s="496"/>
      <c r="DM28" s="496"/>
      <c r="DN28" s="496"/>
      <c r="DO28" s="496"/>
      <c r="DP28" s="496"/>
      <c r="DQ28" s="496"/>
      <c r="DR28" s="496"/>
      <c r="DS28" s="496"/>
      <c r="DT28" s="496"/>
      <c r="DU28" s="496"/>
      <c r="DV28" s="496"/>
      <c r="DW28" s="497"/>
      <c r="DX28" s="32"/>
    </row>
    <row r="29" spans="1:140" ht="12" customHeight="1" x14ac:dyDescent="0.3">
      <c r="A29" s="90"/>
      <c r="B29" s="495"/>
      <c r="C29" s="496"/>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7"/>
      <c r="AF29" s="92"/>
      <c r="AG29" s="83"/>
      <c r="AH29" s="501"/>
      <c r="AI29" s="502"/>
      <c r="AJ29" s="502"/>
      <c r="AK29" s="502"/>
      <c r="AL29" s="502"/>
      <c r="AM29" s="502"/>
      <c r="AN29" s="502"/>
      <c r="AO29" s="502"/>
      <c r="AP29" s="502"/>
      <c r="AQ29" s="502"/>
      <c r="AR29" s="502"/>
      <c r="AS29" s="502"/>
      <c r="AT29" s="502"/>
      <c r="AU29" s="502"/>
      <c r="AV29" s="502"/>
      <c r="AW29" s="502"/>
      <c r="AX29" s="502"/>
      <c r="AY29" s="502"/>
      <c r="AZ29" s="502"/>
      <c r="BA29" s="502"/>
      <c r="BB29" s="502"/>
      <c r="BC29" s="502"/>
      <c r="BD29" s="502"/>
      <c r="BE29" s="502"/>
      <c r="BF29" s="502"/>
      <c r="BG29" s="502"/>
      <c r="BH29" s="502"/>
      <c r="BI29" s="502"/>
      <c r="BJ29" s="502"/>
      <c r="BK29" s="503"/>
      <c r="BL29" s="84"/>
      <c r="BM29" s="55"/>
      <c r="BN29" s="507"/>
      <c r="BO29" s="508"/>
      <c r="BP29" s="508"/>
      <c r="BQ29" s="508"/>
      <c r="BR29" s="508"/>
      <c r="BS29" s="508"/>
      <c r="BT29" s="508"/>
      <c r="BU29" s="508"/>
      <c r="BV29" s="508"/>
      <c r="BW29" s="508"/>
      <c r="BX29" s="508"/>
      <c r="BY29" s="508"/>
      <c r="BZ29" s="508"/>
      <c r="CA29" s="508"/>
      <c r="CB29" s="508"/>
      <c r="CC29" s="508"/>
      <c r="CD29" s="508"/>
      <c r="CE29" s="508"/>
      <c r="CF29" s="508"/>
      <c r="CG29" s="508"/>
      <c r="CH29" s="508"/>
      <c r="CI29" s="508"/>
      <c r="CJ29" s="508"/>
      <c r="CK29" s="508"/>
      <c r="CL29" s="508"/>
      <c r="CM29" s="508"/>
      <c r="CN29" s="508"/>
      <c r="CO29" s="508"/>
      <c r="CP29" s="508"/>
      <c r="CQ29" s="509"/>
      <c r="CR29" s="57"/>
      <c r="CS29" s="55"/>
      <c r="CT29" s="495"/>
      <c r="CU29" s="496"/>
      <c r="CV29" s="496"/>
      <c r="CW29" s="496"/>
      <c r="CX29" s="496"/>
      <c r="CY29" s="496"/>
      <c r="CZ29" s="496"/>
      <c r="DA29" s="496"/>
      <c r="DB29" s="496"/>
      <c r="DC29" s="496"/>
      <c r="DD29" s="496"/>
      <c r="DE29" s="496"/>
      <c r="DF29" s="496"/>
      <c r="DG29" s="496"/>
      <c r="DH29" s="496"/>
      <c r="DI29" s="496"/>
      <c r="DJ29" s="496"/>
      <c r="DK29" s="496"/>
      <c r="DL29" s="496"/>
      <c r="DM29" s="496"/>
      <c r="DN29" s="496"/>
      <c r="DO29" s="496"/>
      <c r="DP29" s="496"/>
      <c r="DQ29" s="496"/>
      <c r="DR29" s="496"/>
      <c r="DS29" s="496"/>
      <c r="DT29" s="496"/>
      <c r="DU29" s="496"/>
      <c r="DV29" s="496"/>
      <c r="DW29" s="497"/>
      <c r="DX29" s="57"/>
    </row>
    <row r="30" spans="1:140" ht="12" customHeight="1" x14ac:dyDescent="0.3">
      <c r="A30" s="90"/>
      <c r="B30" s="495"/>
      <c r="C30" s="496"/>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7"/>
      <c r="AF30" s="92"/>
      <c r="AG30" s="83"/>
      <c r="AH30" s="501"/>
      <c r="AI30" s="502"/>
      <c r="AJ30" s="502"/>
      <c r="AK30" s="502"/>
      <c r="AL30" s="502"/>
      <c r="AM30" s="502"/>
      <c r="AN30" s="502"/>
      <c r="AO30" s="502"/>
      <c r="AP30" s="502"/>
      <c r="AQ30" s="502"/>
      <c r="AR30" s="502"/>
      <c r="AS30" s="502"/>
      <c r="AT30" s="502"/>
      <c r="AU30" s="502"/>
      <c r="AV30" s="502"/>
      <c r="AW30" s="502"/>
      <c r="AX30" s="502"/>
      <c r="AY30" s="502"/>
      <c r="AZ30" s="502"/>
      <c r="BA30" s="502"/>
      <c r="BB30" s="502"/>
      <c r="BC30" s="502"/>
      <c r="BD30" s="502"/>
      <c r="BE30" s="502"/>
      <c r="BF30" s="502"/>
      <c r="BG30" s="502"/>
      <c r="BH30" s="502"/>
      <c r="BI30" s="502"/>
      <c r="BJ30" s="502"/>
      <c r="BK30" s="503"/>
      <c r="BL30" s="84"/>
      <c r="BM30" s="55"/>
      <c r="BN30" s="507"/>
      <c r="BO30" s="508"/>
      <c r="BP30" s="508"/>
      <c r="BQ30" s="508"/>
      <c r="BR30" s="508"/>
      <c r="BS30" s="508"/>
      <c r="BT30" s="508"/>
      <c r="BU30" s="508"/>
      <c r="BV30" s="508"/>
      <c r="BW30" s="508"/>
      <c r="BX30" s="508"/>
      <c r="BY30" s="508"/>
      <c r="BZ30" s="508"/>
      <c r="CA30" s="508"/>
      <c r="CB30" s="508"/>
      <c r="CC30" s="508"/>
      <c r="CD30" s="508"/>
      <c r="CE30" s="508"/>
      <c r="CF30" s="508"/>
      <c r="CG30" s="508"/>
      <c r="CH30" s="508"/>
      <c r="CI30" s="508"/>
      <c r="CJ30" s="508"/>
      <c r="CK30" s="508"/>
      <c r="CL30" s="508"/>
      <c r="CM30" s="508"/>
      <c r="CN30" s="508"/>
      <c r="CO30" s="508"/>
      <c r="CP30" s="508"/>
      <c r="CQ30" s="509"/>
      <c r="CR30" s="57"/>
      <c r="CS30" s="55"/>
      <c r="CT30" s="495"/>
      <c r="CU30" s="496"/>
      <c r="CV30" s="496"/>
      <c r="CW30" s="496"/>
      <c r="CX30" s="496"/>
      <c r="CY30" s="496"/>
      <c r="CZ30" s="496"/>
      <c r="DA30" s="496"/>
      <c r="DB30" s="496"/>
      <c r="DC30" s="496"/>
      <c r="DD30" s="496"/>
      <c r="DE30" s="496"/>
      <c r="DF30" s="496"/>
      <c r="DG30" s="496"/>
      <c r="DH30" s="496"/>
      <c r="DI30" s="496"/>
      <c r="DJ30" s="496"/>
      <c r="DK30" s="496"/>
      <c r="DL30" s="496"/>
      <c r="DM30" s="496"/>
      <c r="DN30" s="496"/>
      <c r="DO30" s="496"/>
      <c r="DP30" s="496"/>
      <c r="DQ30" s="496"/>
      <c r="DR30" s="496"/>
      <c r="DS30" s="496"/>
      <c r="DT30" s="496"/>
      <c r="DU30" s="496"/>
      <c r="DV30" s="496"/>
      <c r="DW30" s="497"/>
      <c r="DX30" s="57"/>
    </row>
    <row r="31" spans="1:140" ht="12" customHeight="1" x14ac:dyDescent="0.3">
      <c r="A31" s="90"/>
      <c r="B31" s="495"/>
      <c r="C31" s="496"/>
      <c r="D31" s="496"/>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7"/>
      <c r="AF31" s="92"/>
      <c r="AG31" s="83"/>
      <c r="AH31" s="501"/>
      <c r="AI31" s="502"/>
      <c r="AJ31" s="502"/>
      <c r="AK31" s="502"/>
      <c r="AL31" s="502"/>
      <c r="AM31" s="502"/>
      <c r="AN31" s="502"/>
      <c r="AO31" s="502"/>
      <c r="AP31" s="502"/>
      <c r="AQ31" s="502"/>
      <c r="AR31" s="502"/>
      <c r="AS31" s="502"/>
      <c r="AT31" s="502"/>
      <c r="AU31" s="502"/>
      <c r="AV31" s="502"/>
      <c r="AW31" s="502"/>
      <c r="AX31" s="502"/>
      <c r="AY31" s="502"/>
      <c r="AZ31" s="502"/>
      <c r="BA31" s="502"/>
      <c r="BB31" s="502"/>
      <c r="BC31" s="502"/>
      <c r="BD31" s="502"/>
      <c r="BE31" s="502"/>
      <c r="BF31" s="502"/>
      <c r="BG31" s="502"/>
      <c r="BH31" s="502"/>
      <c r="BI31" s="502"/>
      <c r="BJ31" s="502"/>
      <c r="BK31" s="503"/>
      <c r="BL31" s="84"/>
      <c r="BM31" s="55"/>
      <c r="BN31" s="507"/>
      <c r="BO31" s="508"/>
      <c r="BP31" s="508"/>
      <c r="BQ31" s="508"/>
      <c r="BR31" s="508"/>
      <c r="BS31" s="508"/>
      <c r="BT31" s="508"/>
      <c r="BU31" s="508"/>
      <c r="BV31" s="508"/>
      <c r="BW31" s="508"/>
      <c r="BX31" s="508"/>
      <c r="BY31" s="508"/>
      <c r="BZ31" s="508"/>
      <c r="CA31" s="508"/>
      <c r="CB31" s="508"/>
      <c r="CC31" s="508"/>
      <c r="CD31" s="508"/>
      <c r="CE31" s="508"/>
      <c r="CF31" s="508"/>
      <c r="CG31" s="508"/>
      <c r="CH31" s="508"/>
      <c r="CI31" s="508"/>
      <c r="CJ31" s="508"/>
      <c r="CK31" s="508"/>
      <c r="CL31" s="508"/>
      <c r="CM31" s="508"/>
      <c r="CN31" s="508"/>
      <c r="CO31" s="508"/>
      <c r="CP31" s="508"/>
      <c r="CQ31" s="509"/>
      <c r="CR31" s="57"/>
      <c r="CS31" s="55"/>
      <c r="CT31" s="495"/>
      <c r="CU31" s="496"/>
      <c r="CV31" s="496"/>
      <c r="CW31" s="496"/>
      <c r="CX31" s="496"/>
      <c r="CY31" s="496"/>
      <c r="CZ31" s="496"/>
      <c r="DA31" s="496"/>
      <c r="DB31" s="496"/>
      <c r="DC31" s="496"/>
      <c r="DD31" s="496"/>
      <c r="DE31" s="496"/>
      <c r="DF31" s="496"/>
      <c r="DG31" s="496"/>
      <c r="DH31" s="496"/>
      <c r="DI31" s="496"/>
      <c r="DJ31" s="496"/>
      <c r="DK31" s="496"/>
      <c r="DL31" s="496"/>
      <c r="DM31" s="496"/>
      <c r="DN31" s="496"/>
      <c r="DO31" s="496"/>
      <c r="DP31" s="496"/>
      <c r="DQ31" s="496"/>
      <c r="DR31" s="496"/>
      <c r="DS31" s="496"/>
      <c r="DT31" s="496"/>
      <c r="DU31" s="496"/>
      <c r="DV31" s="496"/>
      <c r="DW31" s="497"/>
      <c r="DX31" s="57"/>
    </row>
    <row r="32" spans="1:140" ht="12" customHeight="1" x14ac:dyDescent="0.3">
      <c r="A32" s="90"/>
      <c r="B32" s="495"/>
      <c r="C32" s="496"/>
      <c r="D32" s="496"/>
      <c r="E32" s="496"/>
      <c r="F32" s="496"/>
      <c r="G32" s="496"/>
      <c r="H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7"/>
      <c r="AF32" s="92"/>
      <c r="AG32" s="83"/>
      <c r="AH32" s="501"/>
      <c r="AI32" s="502"/>
      <c r="AJ32" s="502"/>
      <c r="AK32" s="502"/>
      <c r="AL32" s="502"/>
      <c r="AM32" s="502"/>
      <c r="AN32" s="502"/>
      <c r="AO32" s="502"/>
      <c r="AP32" s="502"/>
      <c r="AQ32" s="502"/>
      <c r="AR32" s="502"/>
      <c r="AS32" s="502"/>
      <c r="AT32" s="502"/>
      <c r="AU32" s="502"/>
      <c r="AV32" s="502"/>
      <c r="AW32" s="502"/>
      <c r="AX32" s="502"/>
      <c r="AY32" s="502"/>
      <c r="AZ32" s="502"/>
      <c r="BA32" s="502"/>
      <c r="BB32" s="502"/>
      <c r="BC32" s="502"/>
      <c r="BD32" s="502"/>
      <c r="BE32" s="502"/>
      <c r="BF32" s="502"/>
      <c r="BG32" s="502"/>
      <c r="BH32" s="502"/>
      <c r="BI32" s="502"/>
      <c r="BJ32" s="502"/>
      <c r="BK32" s="503"/>
      <c r="BL32" s="84"/>
      <c r="BM32" s="55"/>
      <c r="BN32" s="507"/>
      <c r="BO32" s="508"/>
      <c r="BP32" s="508"/>
      <c r="BQ32" s="508"/>
      <c r="BR32" s="508"/>
      <c r="BS32" s="508"/>
      <c r="BT32" s="508"/>
      <c r="BU32" s="508"/>
      <c r="BV32" s="508"/>
      <c r="BW32" s="508"/>
      <c r="BX32" s="508"/>
      <c r="BY32" s="508"/>
      <c r="BZ32" s="508"/>
      <c r="CA32" s="508"/>
      <c r="CB32" s="508"/>
      <c r="CC32" s="508"/>
      <c r="CD32" s="508"/>
      <c r="CE32" s="508"/>
      <c r="CF32" s="508"/>
      <c r="CG32" s="508"/>
      <c r="CH32" s="508"/>
      <c r="CI32" s="508"/>
      <c r="CJ32" s="508"/>
      <c r="CK32" s="508"/>
      <c r="CL32" s="508"/>
      <c r="CM32" s="508"/>
      <c r="CN32" s="508"/>
      <c r="CO32" s="508"/>
      <c r="CP32" s="508"/>
      <c r="CQ32" s="509"/>
      <c r="CR32" s="57"/>
      <c r="CS32" s="55"/>
      <c r="CT32" s="495"/>
      <c r="CU32" s="496"/>
      <c r="CV32" s="496"/>
      <c r="CW32" s="496"/>
      <c r="CX32" s="496"/>
      <c r="CY32" s="496"/>
      <c r="CZ32" s="496"/>
      <c r="DA32" s="496"/>
      <c r="DB32" s="496"/>
      <c r="DC32" s="496"/>
      <c r="DD32" s="496"/>
      <c r="DE32" s="496"/>
      <c r="DF32" s="496"/>
      <c r="DG32" s="496"/>
      <c r="DH32" s="496"/>
      <c r="DI32" s="496"/>
      <c r="DJ32" s="496"/>
      <c r="DK32" s="496"/>
      <c r="DL32" s="496"/>
      <c r="DM32" s="496"/>
      <c r="DN32" s="496"/>
      <c r="DO32" s="496"/>
      <c r="DP32" s="496"/>
      <c r="DQ32" s="496"/>
      <c r="DR32" s="496"/>
      <c r="DS32" s="496"/>
      <c r="DT32" s="496"/>
      <c r="DU32" s="496"/>
      <c r="DV32" s="496"/>
      <c r="DW32" s="497"/>
      <c r="DX32" s="57"/>
    </row>
    <row r="33" spans="1:128" ht="12" customHeight="1" x14ac:dyDescent="0.3">
      <c r="A33" s="90"/>
      <c r="B33" s="495"/>
      <c r="C33" s="496"/>
      <c r="D33" s="496"/>
      <c r="E33" s="49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7"/>
      <c r="AF33" s="92"/>
      <c r="AG33" s="83"/>
      <c r="AH33" s="501"/>
      <c r="AI33" s="502"/>
      <c r="AJ33" s="502"/>
      <c r="AK33" s="502"/>
      <c r="AL33" s="502"/>
      <c r="AM33" s="502"/>
      <c r="AN33" s="502"/>
      <c r="AO33" s="502"/>
      <c r="AP33" s="502"/>
      <c r="AQ33" s="502"/>
      <c r="AR33" s="502"/>
      <c r="AS33" s="502"/>
      <c r="AT33" s="502"/>
      <c r="AU33" s="502"/>
      <c r="AV33" s="502"/>
      <c r="AW33" s="502"/>
      <c r="AX33" s="502"/>
      <c r="AY33" s="502"/>
      <c r="AZ33" s="502"/>
      <c r="BA33" s="502"/>
      <c r="BB33" s="502"/>
      <c r="BC33" s="502"/>
      <c r="BD33" s="502"/>
      <c r="BE33" s="502"/>
      <c r="BF33" s="502"/>
      <c r="BG33" s="502"/>
      <c r="BH33" s="502"/>
      <c r="BI33" s="502"/>
      <c r="BJ33" s="502"/>
      <c r="BK33" s="503"/>
      <c r="BL33" s="84"/>
      <c r="BM33" s="55"/>
      <c r="BN33" s="507"/>
      <c r="BO33" s="508"/>
      <c r="BP33" s="508"/>
      <c r="BQ33" s="508"/>
      <c r="BR33" s="508"/>
      <c r="BS33" s="508"/>
      <c r="BT33" s="508"/>
      <c r="BU33" s="508"/>
      <c r="BV33" s="508"/>
      <c r="BW33" s="508"/>
      <c r="BX33" s="508"/>
      <c r="BY33" s="508"/>
      <c r="BZ33" s="508"/>
      <c r="CA33" s="508"/>
      <c r="CB33" s="508"/>
      <c r="CC33" s="508"/>
      <c r="CD33" s="508"/>
      <c r="CE33" s="508"/>
      <c r="CF33" s="508"/>
      <c r="CG33" s="508"/>
      <c r="CH33" s="508"/>
      <c r="CI33" s="508"/>
      <c r="CJ33" s="508"/>
      <c r="CK33" s="508"/>
      <c r="CL33" s="508"/>
      <c r="CM33" s="508"/>
      <c r="CN33" s="508"/>
      <c r="CO33" s="508"/>
      <c r="CP33" s="508"/>
      <c r="CQ33" s="509"/>
      <c r="CR33" s="57"/>
      <c r="CS33" s="55"/>
      <c r="CT33" s="495"/>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7"/>
      <c r="DX33" s="57"/>
    </row>
    <row r="34" spans="1:128" ht="12" customHeight="1" x14ac:dyDescent="0.3">
      <c r="A34" s="90"/>
      <c r="B34" s="495"/>
      <c r="C34" s="496"/>
      <c r="D34" s="496"/>
      <c r="E34" s="49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496"/>
      <c r="AE34" s="497"/>
      <c r="AF34" s="92"/>
      <c r="AG34" s="83"/>
      <c r="AH34" s="501"/>
      <c r="AI34" s="502"/>
      <c r="AJ34" s="502"/>
      <c r="AK34" s="502"/>
      <c r="AL34" s="502"/>
      <c r="AM34" s="502"/>
      <c r="AN34" s="502"/>
      <c r="AO34" s="502"/>
      <c r="AP34" s="502"/>
      <c r="AQ34" s="502"/>
      <c r="AR34" s="502"/>
      <c r="AS34" s="502"/>
      <c r="AT34" s="502"/>
      <c r="AU34" s="502"/>
      <c r="AV34" s="502"/>
      <c r="AW34" s="502"/>
      <c r="AX34" s="502"/>
      <c r="AY34" s="502"/>
      <c r="AZ34" s="502"/>
      <c r="BA34" s="502"/>
      <c r="BB34" s="502"/>
      <c r="BC34" s="502"/>
      <c r="BD34" s="502"/>
      <c r="BE34" s="502"/>
      <c r="BF34" s="502"/>
      <c r="BG34" s="502"/>
      <c r="BH34" s="502"/>
      <c r="BI34" s="502"/>
      <c r="BJ34" s="502"/>
      <c r="BK34" s="503"/>
      <c r="BL34" s="84"/>
      <c r="BM34" s="55"/>
      <c r="BN34" s="507"/>
      <c r="BO34" s="508"/>
      <c r="BP34" s="508"/>
      <c r="BQ34" s="508"/>
      <c r="BR34" s="508"/>
      <c r="BS34" s="508"/>
      <c r="BT34" s="508"/>
      <c r="BU34" s="508"/>
      <c r="BV34" s="508"/>
      <c r="BW34" s="508"/>
      <c r="BX34" s="508"/>
      <c r="BY34" s="508"/>
      <c r="BZ34" s="508"/>
      <c r="CA34" s="508"/>
      <c r="CB34" s="508"/>
      <c r="CC34" s="508"/>
      <c r="CD34" s="508"/>
      <c r="CE34" s="508"/>
      <c r="CF34" s="508"/>
      <c r="CG34" s="508"/>
      <c r="CH34" s="508"/>
      <c r="CI34" s="508"/>
      <c r="CJ34" s="508"/>
      <c r="CK34" s="508"/>
      <c r="CL34" s="508"/>
      <c r="CM34" s="508"/>
      <c r="CN34" s="508"/>
      <c r="CO34" s="508"/>
      <c r="CP34" s="508"/>
      <c r="CQ34" s="509"/>
      <c r="CR34" s="57"/>
      <c r="CS34" s="55"/>
      <c r="CT34" s="495"/>
      <c r="CU34" s="496"/>
      <c r="CV34" s="496"/>
      <c r="CW34" s="496"/>
      <c r="CX34" s="496"/>
      <c r="CY34" s="496"/>
      <c r="CZ34" s="496"/>
      <c r="DA34" s="496"/>
      <c r="DB34" s="496"/>
      <c r="DC34" s="496"/>
      <c r="DD34" s="496"/>
      <c r="DE34" s="496"/>
      <c r="DF34" s="496"/>
      <c r="DG34" s="496"/>
      <c r="DH34" s="496"/>
      <c r="DI34" s="496"/>
      <c r="DJ34" s="496"/>
      <c r="DK34" s="496"/>
      <c r="DL34" s="496"/>
      <c r="DM34" s="496"/>
      <c r="DN34" s="496"/>
      <c r="DO34" s="496"/>
      <c r="DP34" s="496"/>
      <c r="DQ34" s="496"/>
      <c r="DR34" s="496"/>
      <c r="DS34" s="496"/>
      <c r="DT34" s="496"/>
      <c r="DU34" s="496"/>
      <c r="DV34" s="496"/>
      <c r="DW34" s="497"/>
      <c r="DX34" s="57"/>
    </row>
    <row r="35" spans="1:128" ht="12" customHeight="1" x14ac:dyDescent="0.3">
      <c r="A35" s="90"/>
      <c r="B35" s="495"/>
      <c r="C35" s="496"/>
      <c r="D35" s="496"/>
      <c r="E35" s="496"/>
      <c r="F35" s="496"/>
      <c r="G35" s="496"/>
      <c r="H35" s="496"/>
      <c r="I35" s="496"/>
      <c r="J35" s="496"/>
      <c r="K35" s="496"/>
      <c r="L35" s="496"/>
      <c r="M35" s="496"/>
      <c r="N35" s="496"/>
      <c r="O35" s="496"/>
      <c r="P35" s="496"/>
      <c r="Q35" s="496"/>
      <c r="R35" s="496"/>
      <c r="S35" s="496"/>
      <c r="T35" s="496"/>
      <c r="U35" s="496"/>
      <c r="V35" s="496"/>
      <c r="W35" s="496"/>
      <c r="X35" s="496"/>
      <c r="Y35" s="496"/>
      <c r="Z35" s="496"/>
      <c r="AA35" s="496"/>
      <c r="AB35" s="496"/>
      <c r="AC35" s="496"/>
      <c r="AD35" s="496"/>
      <c r="AE35" s="497"/>
      <c r="AF35" s="92"/>
      <c r="AG35" s="83"/>
      <c r="AH35" s="501"/>
      <c r="AI35" s="502"/>
      <c r="AJ35" s="502"/>
      <c r="AK35" s="502"/>
      <c r="AL35" s="502"/>
      <c r="AM35" s="502"/>
      <c r="AN35" s="502"/>
      <c r="AO35" s="502"/>
      <c r="AP35" s="502"/>
      <c r="AQ35" s="502"/>
      <c r="AR35" s="502"/>
      <c r="AS35" s="502"/>
      <c r="AT35" s="502"/>
      <c r="AU35" s="502"/>
      <c r="AV35" s="502"/>
      <c r="AW35" s="502"/>
      <c r="AX35" s="502"/>
      <c r="AY35" s="502"/>
      <c r="AZ35" s="502"/>
      <c r="BA35" s="502"/>
      <c r="BB35" s="502"/>
      <c r="BC35" s="502"/>
      <c r="BD35" s="502"/>
      <c r="BE35" s="502"/>
      <c r="BF35" s="502"/>
      <c r="BG35" s="502"/>
      <c r="BH35" s="502"/>
      <c r="BI35" s="502"/>
      <c r="BJ35" s="502"/>
      <c r="BK35" s="503"/>
      <c r="BL35" s="84"/>
      <c r="BM35" s="55"/>
      <c r="BN35" s="507"/>
      <c r="BO35" s="508"/>
      <c r="BP35" s="508"/>
      <c r="BQ35" s="508"/>
      <c r="BR35" s="508"/>
      <c r="BS35" s="508"/>
      <c r="BT35" s="508"/>
      <c r="BU35" s="508"/>
      <c r="BV35" s="508"/>
      <c r="BW35" s="508"/>
      <c r="BX35" s="508"/>
      <c r="BY35" s="508"/>
      <c r="BZ35" s="508"/>
      <c r="CA35" s="508"/>
      <c r="CB35" s="508"/>
      <c r="CC35" s="508"/>
      <c r="CD35" s="508"/>
      <c r="CE35" s="508"/>
      <c r="CF35" s="508"/>
      <c r="CG35" s="508"/>
      <c r="CH35" s="508"/>
      <c r="CI35" s="508"/>
      <c r="CJ35" s="508"/>
      <c r="CK35" s="508"/>
      <c r="CL35" s="508"/>
      <c r="CM35" s="508"/>
      <c r="CN35" s="508"/>
      <c r="CO35" s="508"/>
      <c r="CP35" s="508"/>
      <c r="CQ35" s="509"/>
      <c r="CR35" s="57"/>
      <c r="CS35" s="55"/>
      <c r="CT35" s="495"/>
      <c r="CU35" s="496"/>
      <c r="CV35" s="496"/>
      <c r="CW35" s="496"/>
      <c r="CX35" s="496"/>
      <c r="CY35" s="496"/>
      <c r="CZ35" s="496"/>
      <c r="DA35" s="496"/>
      <c r="DB35" s="496"/>
      <c r="DC35" s="496"/>
      <c r="DD35" s="496"/>
      <c r="DE35" s="496"/>
      <c r="DF35" s="496"/>
      <c r="DG35" s="496"/>
      <c r="DH35" s="496"/>
      <c r="DI35" s="496"/>
      <c r="DJ35" s="496"/>
      <c r="DK35" s="496"/>
      <c r="DL35" s="496"/>
      <c r="DM35" s="496"/>
      <c r="DN35" s="496"/>
      <c r="DO35" s="496"/>
      <c r="DP35" s="496"/>
      <c r="DQ35" s="496"/>
      <c r="DR35" s="496"/>
      <c r="DS35" s="496"/>
      <c r="DT35" s="496"/>
      <c r="DU35" s="496"/>
      <c r="DV35" s="496"/>
      <c r="DW35" s="497"/>
      <c r="DX35" s="57"/>
    </row>
    <row r="36" spans="1:128" ht="12" customHeight="1" x14ac:dyDescent="0.3">
      <c r="A36" s="90"/>
      <c r="B36" s="495"/>
      <c r="C36" s="496"/>
      <c r="D36" s="496"/>
      <c r="E36" s="496"/>
      <c r="F36" s="496"/>
      <c r="G36" s="496"/>
      <c r="H36" s="496"/>
      <c r="I36" s="496"/>
      <c r="J36" s="496"/>
      <c r="K36" s="496"/>
      <c r="L36" s="496"/>
      <c r="M36" s="496"/>
      <c r="N36" s="496"/>
      <c r="O36" s="496"/>
      <c r="P36" s="496"/>
      <c r="Q36" s="496"/>
      <c r="R36" s="496"/>
      <c r="S36" s="496"/>
      <c r="T36" s="496"/>
      <c r="U36" s="496"/>
      <c r="V36" s="496"/>
      <c r="W36" s="496"/>
      <c r="X36" s="496"/>
      <c r="Y36" s="496"/>
      <c r="Z36" s="496"/>
      <c r="AA36" s="496"/>
      <c r="AB36" s="496"/>
      <c r="AC36" s="496"/>
      <c r="AD36" s="496"/>
      <c r="AE36" s="497"/>
      <c r="AF36" s="92"/>
      <c r="AG36" s="83"/>
      <c r="AH36" s="501"/>
      <c r="AI36" s="502"/>
      <c r="AJ36" s="502"/>
      <c r="AK36" s="502"/>
      <c r="AL36" s="502"/>
      <c r="AM36" s="502"/>
      <c r="AN36" s="502"/>
      <c r="AO36" s="502"/>
      <c r="AP36" s="502"/>
      <c r="AQ36" s="502"/>
      <c r="AR36" s="502"/>
      <c r="AS36" s="502"/>
      <c r="AT36" s="502"/>
      <c r="AU36" s="502"/>
      <c r="AV36" s="502"/>
      <c r="AW36" s="502"/>
      <c r="AX36" s="502"/>
      <c r="AY36" s="502"/>
      <c r="AZ36" s="502"/>
      <c r="BA36" s="502"/>
      <c r="BB36" s="502"/>
      <c r="BC36" s="502"/>
      <c r="BD36" s="502"/>
      <c r="BE36" s="502"/>
      <c r="BF36" s="502"/>
      <c r="BG36" s="502"/>
      <c r="BH36" s="502"/>
      <c r="BI36" s="502"/>
      <c r="BJ36" s="502"/>
      <c r="BK36" s="503"/>
      <c r="BL36" s="84"/>
      <c r="BM36" s="55"/>
      <c r="BN36" s="507"/>
      <c r="BO36" s="508"/>
      <c r="BP36" s="508"/>
      <c r="BQ36" s="508"/>
      <c r="BR36" s="508"/>
      <c r="BS36" s="508"/>
      <c r="BT36" s="508"/>
      <c r="BU36" s="508"/>
      <c r="BV36" s="508"/>
      <c r="BW36" s="508"/>
      <c r="BX36" s="508"/>
      <c r="BY36" s="508"/>
      <c r="BZ36" s="508"/>
      <c r="CA36" s="508"/>
      <c r="CB36" s="508"/>
      <c r="CC36" s="508"/>
      <c r="CD36" s="508"/>
      <c r="CE36" s="508"/>
      <c r="CF36" s="508"/>
      <c r="CG36" s="508"/>
      <c r="CH36" s="508"/>
      <c r="CI36" s="508"/>
      <c r="CJ36" s="508"/>
      <c r="CK36" s="508"/>
      <c r="CL36" s="508"/>
      <c r="CM36" s="508"/>
      <c r="CN36" s="508"/>
      <c r="CO36" s="508"/>
      <c r="CP36" s="508"/>
      <c r="CQ36" s="509"/>
      <c r="CR36" s="57"/>
      <c r="CS36" s="55"/>
      <c r="CT36" s="495"/>
      <c r="CU36" s="496"/>
      <c r="CV36" s="496"/>
      <c r="CW36" s="496"/>
      <c r="CX36" s="496"/>
      <c r="CY36" s="496"/>
      <c r="CZ36" s="496"/>
      <c r="DA36" s="496"/>
      <c r="DB36" s="496"/>
      <c r="DC36" s="496"/>
      <c r="DD36" s="496"/>
      <c r="DE36" s="496"/>
      <c r="DF36" s="496"/>
      <c r="DG36" s="496"/>
      <c r="DH36" s="496"/>
      <c r="DI36" s="496"/>
      <c r="DJ36" s="496"/>
      <c r="DK36" s="496"/>
      <c r="DL36" s="496"/>
      <c r="DM36" s="496"/>
      <c r="DN36" s="496"/>
      <c r="DO36" s="496"/>
      <c r="DP36" s="496"/>
      <c r="DQ36" s="496"/>
      <c r="DR36" s="496"/>
      <c r="DS36" s="496"/>
      <c r="DT36" s="496"/>
      <c r="DU36" s="496"/>
      <c r="DV36" s="496"/>
      <c r="DW36" s="497"/>
      <c r="DX36" s="57"/>
    </row>
    <row r="37" spans="1:128" ht="12" customHeight="1" x14ac:dyDescent="0.3">
      <c r="A37" s="90"/>
      <c r="B37" s="495"/>
      <c r="C37" s="496"/>
      <c r="D37" s="496"/>
      <c r="E37" s="496"/>
      <c r="F37" s="496"/>
      <c r="G37" s="496"/>
      <c r="H37" s="496"/>
      <c r="I37" s="496"/>
      <c r="J37" s="496"/>
      <c r="K37" s="496"/>
      <c r="L37" s="496"/>
      <c r="M37" s="496"/>
      <c r="N37" s="496"/>
      <c r="O37" s="496"/>
      <c r="P37" s="496"/>
      <c r="Q37" s="496"/>
      <c r="R37" s="496"/>
      <c r="S37" s="496"/>
      <c r="T37" s="496"/>
      <c r="U37" s="496"/>
      <c r="V37" s="496"/>
      <c r="W37" s="496"/>
      <c r="X37" s="496"/>
      <c r="Y37" s="496"/>
      <c r="Z37" s="496"/>
      <c r="AA37" s="496"/>
      <c r="AB37" s="496"/>
      <c r="AC37" s="496"/>
      <c r="AD37" s="496"/>
      <c r="AE37" s="497"/>
      <c r="AF37" s="92"/>
      <c r="AG37" s="83"/>
      <c r="AH37" s="501"/>
      <c r="AI37" s="502"/>
      <c r="AJ37" s="502"/>
      <c r="AK37" s="502"/>
      <c r="AL37" s="502"/>
      <c r="AM37" s="502"/>
      <c r="AN37" s="502"/>
      <c r="AO37" s="502"/>
      <c r="AP37" s="502"/>
      <c r="AQ37" s="502"/>
      <c r="AR37" s="502"/>
      <c r="AS37" s="502"/>
      <c r="AT37" s="502"/>
      <c r="AU37" s="502"/>
      <c r="AV37" s="502"/>
      <c r="AW37" s="502"/>
      <c r="AX37" s="502"/>
      <c r="AY37" s="502"/>
      <c r="AZ37" s="502"/>
      <c r="BA37" s="502"/>
      <c r="BB37" s="502"/>
      <c r="BC37" s="502"/>
      <c r="BD37" s="502"/>
      <c r="BE37" s="502"/>
      <c r="BF37" s="502"/>
      <c r="BG37" s="502"/>
      <c r="BH37" s="502"/>
      <c r="BI37" s="502"/>
      <c r="BJ37" s="502"/>
      <c r="BK37" s="503"/>
      <c r="BL37" s="84"/>
      <c r="BM37" s="55"/>
      <c r="BN37" s="507"/>
      <c r="BO37" s="508"/>
      <c r="BP37" s="508"/>
      <c r="BQ37" s="508"/>
      <c r="BR37" s="508"/>
      <c r="BS37" s="508"/>
      <c r="BT37" s="508"/>
      <c r="BU37" s="508"/>
      <c r="BV37" s="508"/>
      <c r="BW37" s="508"/>
      <c r="BX37" s="508"/>
      <c r="BY37" s="508"/>
      <c r="BZ37" s="508"/>
      <c r="CA37" s="508"/>
      <c r="CB37" s="508"/>
      <c r="CC37" s="508"/>
      <c r="CD37" s="508"/>
      <c r="CE37" s="508"/>
      <c r="CF37" s="508"/>
      <c r="CG37" s="508"/>
      <c r="CH37" s="508"/>
      <c r="CI37" s="508"/>
      <c r="CJ37" s="508"/>
      <c r="CK37" s="508"/>
      <c r="CL37" s="508"/>
      <c r="CM37" s="508"/>
      <c r="CN37" s="508"/>
      <c r="CO37" s="508"/>
      <c r="CP37" s="508"/>
      <c r="CQ37" s="509"/>
      <c r="CR37" s="57"/>
      <c r="CS37" s="55"/>
      <c r="CT37" s="495"/>
      <c r="CU37" s="496"/>
      <c r="CV37" s="496"/>
      <c r="CW37" s="496"/>
      <c r="CX37" s="496"/>
      <c r="CY37" s="496"/>
      <c r="CZ37" s="496"/>
      <c r="DA37" s="496"/>
      <c r="DB37" s="496"/>
      <c r="DC37" s="496"/>
      <c r="DD37" s="496"/>
      <c r="DE37" s="496"/>
      <c r="DF37" s="496"/>
      <c r="DG37" s="496"/>
      <c r="DH37" s="496"/>
      <c r="DI37" s="496"/>
      <c r="DJ37" s="496"/>
      <c r="DK37" s="496"/>
      <c r="DL37" s="496"/>
      <c r="DM37" s="496"/>
      <c r="DN37" s="496"/>
      <c r="DO37" s="496"/>
      <c r="DP37" s="496"/>
      <c r="DQ37" s="496"/>
      <c r="DR37" s="496"/>
      <c r="DS37" s="496"/>
      <c r="DT37" s="496"/>
      <c r="DU37" s="496"/>
      <c r="DV37" s="496"/>
      <c r="DW37" s="497"/>
      <c r="DX37" s="57"/>
    </row>
    <row r="38" spans="1:128" ht="12" customHeight="1" x14ac:dyDescent="0.3">
      <c r="A38" s="90"/>
      <c r="B38" s="495"/>
      <c r="C38" s="496"/>
      <c r="D38" s="496"/>
      <c r="E38" s="496"/>
      <c r="F38" s="496"/>
      <c r="G38" s="496"/>
      <c r="H38" s="496"/>
      <c r="I38" s="496"/>
      <c r="J38" s="496"/>
      <c r="K38" s="496"/>
      <c r="L38" s="496"/>
      <c r="M38" s="496"/>
      <c r="N38" s="496"/>
      <c r="O38" s="496"/>
      <c r="P38" s="496"/>
      <c r="Q38" s="496"/>
      <c r="R38" s="496"/>
      <c r="S38" s="496"/>
      <c r="T38" s="496"/>
      <c r="U38" s="496"/>
      <c r="V38" s="496"/>
      <c r="W38" s="496"/>
      <c r="X38" s="496"/>
      <c r="Y38" s="496"/>
      <c r="Z38" s="496"/>
      <c r="AA38" s="496"/>
      <c r="AB38" s="496"/>
      <c r="AC38" s="496"/>
      <c r="AD38" s="496"/>
      <c r="AE38" s="497"/>
      <c r="AF38" s="92"/>
      <c r="AG38" s="83"/>
      <c r="AH38" s="501"/>
      <c r="AI38" s="502"/>
      <c r="AJ38" s="502"/>
      <c r="AK38" s="502"/>
      <c r="AL38" s="502"/>
      <c r="AM38" s="502"/>
      <c r="AN38" s="502"/>
      <c r="AO38" s="502"/>
      <c r="AP38" s="502"/>
      <c r="AQ38" s="502"/>
      <c r="AR38" s="502"/>
      <c r="AS38" s="502"/>
      <c r="AT38" s="502"/>
      <c r="AU38" s="502"/>
      <c r="AV38" s="502"/>
      <c r="AW38" s="502"/>
      <c r="AX38" s="502"/>
      <c r="AY38" s="502"/>
      <c r="AZ38" s="502"/>
      <c r="BA38" s="502"/>
      <c r="BB38" s="502"/>
      <c r="BC38" s="502"/>
      <c r="BD38" s="502"/>
      <c r="BE38" s="502"/>
      <c r="BF38" s="502"/>
      <c r="BG38" s="502"/>
      <c r="BH38" s="502"/>
      <c r="BI38" s="502"/>
      <c r="BJ38" s="502"/>
      <c r="BK38" s="503"/>
      <c r="BL38" s="84"/>
      <c r="BM38" s="55"/>
      <c r="BN38" s="507"/>
      <c r="BO38" s="508"/>
      <c r="BP38" s="508"/>
      <c r="BQ38" s="508"/>
      <c r="BR38" s="508"/>
      <c r="BS38" s="508"/>
      <c r="BT38" s="508"/>
      <c r="BU38" s="508"/>
      <c r="BV38" s="508"/>
      <c r="BW38" s="508"/>
      <c r="BX38" s="508"/>
      <c r="BY38" s="508"/>
      <c r="BZ38" s="508"/>
      <c r="CA38" s="508"/>
      <c r="CB38" s="508"/>
      <c r="CC38" s="508"/>
      <c r="CD38" s="508"/>
      <c r="CE38" s="508"/>
      <c r="CF38" s="508"/>
      <c r="CG38" s="508"/>
      <c r="CH38" s="508"/>
      <c r="CI38" s="508"/>
      <c r="CJ38" s="508"/>
      <c r="CK38" s="508"/>
      <c r="CL38" s="508"/>
      <c r="CM38" s="508"/>
      <c r="CN38" s="508"/>
      <c r="CO38" s="508"/>
      <c r="CP38" s="508"/>
      <c r="CQ38" s="509"/>
      <c r="CR38" s="57"/>
      <c r="CS38" s="55"/>
      <c r="CT38" s="495"/>
      <c r="CU38" s="496"/>
      <c r="CV38" s="496"/>
      <c r="CW38" s="496"/>
      <c r="CX38" s="496"/>
      <c r="CY38" s="496"/>
      <c r="CZ38" s="496"/>
      <c r="DA38" s="496"/>
      <c r="DB38" s="496"/>
      <c r="DC38" s="496"/>
      <c r="DD38" s="496"/>
      <c r="DE38" s="496"/>
      <c r="DF38" s="496"/>
      <c r="DG38" s="496"/>
      <c r="DH38" s="496"/>
      <c r="DI38" s="496"/>
      <c r="DJ38" s="496"/>
      <c r="DK38" s="496"/>
      <c r="DL38" s="496"/>
      <c r="DM38" s="496"/>
      <c r="DN38" s="496"/>
      <c r="DO38" s="496"/>
      <c r="DP38" s="496"/>
      <c r="DQ38" s="496"/>
      <c r="DR38" s="496"/>
      <c r="DS38" s="496"/>
      <c r="DT38" s="496"/>
      <c r="DU38" s="496"/>
      <c r="DV38" s="496"/>
      <c r="DW38" s="497"/>
      <c r="DX38" s="57"/>
    </row>
    <row r="39" spans="1:128" ht="12" customHeight="1" x14ac:dyDescent="0.3">
      <c r="A39" s="90"/>
      <c r="B39" s="495"/>
      <c r="C39" s="496"/>
      <c r="D39" s="496"/>
      <c r="E39" s="496"/>
      <c r="F39" s="496"/>
      <c r="G39" s="496"/>
      <c r="H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7"/>
      <c r="AF39" s="92"/>
      <c r="AG39" s="83"/>
      <c r="AH39" s="501"/>
      <c r="AI39" s="502"/>
      <c r="AJ39" s="502"/>
      <c r="AK39" s="502"/>
      <c r="AL39" s="502"/>
      <c r="AM39" s="502"/>
      <c r="AN39" s="502"/>
      <c r="AO39" s="502"/>
      <c r="AP39" s="502"/>
      <c r="AQ39" s="502"/>
      <c r="AR39" s="502"/>
      <c r="AS39" s="502"/>
      <c r="AT39" s="502"/>
      <c r="AU39" s="502"/>
      <c r="AV39" s="502"/>
      <c r="AW39" s="502"/>
      <c r="AX39" s="502"/>
      <c r="AY39" s="502"/>
      <c r="AZ39" s="502"/>
      <c r="BA39" s="502"/>
      <c r="BB39" s="502"/>
      <c r="BC39" s="502"/>
      <c r="BD39" s="502"/>
      <c r="BE39" s="502"/>
      <c r="BF39" s="502"/>
      <c r="BG39" s="502"/>
      <c r="BH39" s="502"/>
      <c r="BI39" s="502"/>
      <c r="BJ39" s="502"/>
      <c r="BK39" s="503"/>
      <c r="BL39" s="84"/>
      <c r="BM39" s="55"/>
      <c r="BN39" s="507"/>
      <c r="BO39" s="508"/>
      <c r="BP39" s="508"/>
      <c r="BQ39" s="508"/>
      <c r="BR39" s="508"/>
      <c r="BS39" s="508"/>
      <c r="BT39" s="508"/>
      <c r="BU39" s="508"/>
      <c r="BV39" s="508"/>
      <c r="BW39" s="508"/>
      <c r="BX39" s="508"/>
      <c r="BY39" s="508"/>
      <c r="BZ39" s="508"/>
      <c r="CA39" s="508"/>
      <c r="CB39" s="508"/>
      <c r="CC39" s="508"/>
      <c r="CD39" s="508"/>
      <c r="CE39" s="508"/>
      <c r="CF39" s="508"/>
      <c r="CG39" s="508"/>
      <c r="CH39" s="508"/>
      <c r="CI39" s="508"/>
      <c r="CJ39" s="508"/>
      <c r="CK39" s="508"/>
      <c r="CL39" s="508"/>
      <c r="CM39" s="508"/>
      <c r="CN39" s="508"/>
      <c r="CO39" s="508"/>
      <c r="CP39" s="508"/>
      <c r="CQ39" s="509"/>
      <c r="CR39" s="57"/>
      <c r="CS39" s="55"/>
      <c r="CT39" s="495"/>
      <c r="CU39" s="496"/>
      <c r="CV39" s="496"/>
      <c r="CW39" s="496"/>
      <c r="CX39" s="496"/>
      <c r="CY39" s="496"/>
      <c r="CZ39" s="496"/>
      <c r="DA39" s="496"/>
      <c r="DB39" s="496"/>
      <c r="DC39" s="496"/>
      <c r="DD39" s="496"/>
      <c r="DE39" s="496"/>
      <c r="DF39" s="496"/>
      <c r="DG39" s="496"/>
      <c r="DH39" s="496"/>
      <c r="DI39" s="496"/>
      <c r="DJ39" s="496"/>
      <c r="DK39" s="496"/>
      <c r="DL39" s="496"/>
      <c r="DM39" s="496"/>
      <c r="DN39" s="496"/>
      <c r="DO39" s="496"/>
      <c r="DP39" s="496"/>
      <c r="DQ39" s="496"/>
      <c r="DR39" s="496"/>
      <c r="DS39" s="496"/>
      <c r="DT39" s="496"/>
      <c r="DU39" s="496"/>
      <c r="DV39" s="496"/>
      <c r="DW39" s="497"/>
      <c r="DX39" s="57"/>
    </row>
    <row r="40" spans="1:128" ht="12" customHeight="1" x14ac:dyDescent="0.3">
      <c r="A40" s="90"/>
      <c r="B40" s="495"/>
      <c r="C40" s="496"/>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7"/>
      <c r="AF40" s="92"/>
      <c r="AG40" s="83"/>
      <c r="AH40" s="501"/>
      <c r="AI40" s="502"/>
      <c r="AJ40" s="502"/>
      <c r="AK40" s="502"/>
      <c r="AL40" s="502"/>
      <c r="AM40" s="502"/>
      <c r="AN40" s="502"/>
      <c r="AO40" s="502"/>
      <c r="AP40" s="502"/>
      <c r="AQ40" s="502"/>
      <c r="AR40" s="502"/>
      <c r="AS40" s="502"/>
      <c r="AT40" s="502"/>
      <c r="AU40" s="502"/>
      <c r="AV40" s="502"/>
      <c r="AW40" s="502"/>
      <c r="AX40" s="502"/>
      <c r="AY40" s="502"/>
      <c r="AZ40" s="502"/>
      <c r="BA40" s="502"/>
      <c r="BB40" s="502"/>
      <c r="BC40" s="502"/>
      <c r="BD40" s="502"/>
      <c r="BE40" s="502"/>
      <c r="BF40" s="502"/>
      <c r="BG40" s="502"/>
      <c r="BH40" s="502"/>
      <c r="BI40" s="502"/>
      <c r="BJ40" s="502"/>
      <c r="BK40" s="503"/>
      <c r="BL40" s="84"/>
      <c r="BM40" s="39"/>
      <c r="BN40" s="507"/>
      <c r="BO40" s="508"/>
      <c r="BP40" s="508"/>
      <c r="BQ40" s="508"/>
      <c r="BR40" s="508"/>
      <c r="BS40" s="508"/>
      <c r="BT40" s="508"/>
      <c r="BU40" s="508"/>
      <c r="BV40" s="508"/>
      <c r="BW40" s="508"/>
      <c r="BX40" s="508"/>
      <c r="BY40" s="508"/>
      <c r="BZ40" s="508"/>
      <c r="CA40" s="508"/>
      <c r="CB40" s="508"/>
      <c r="CC40" s="508"/>
      <c r="CD40" s="508"/>
      <c r="CE40" s="508"/>
      <c r="CF40" s="508"/>
      <c r="CG40" s="508"/>
      <c r="CH40" s="508"/>
      <c r="CI40" s="508"/>
      <c r="CJ40" s="508"/>
      <c r="CK40" s="508"/>
      <c r="CL40" s="508"/>
      <c r="CM40" s="508"/>
      <c r="CN40" s="508"/>
      <c r="CO40" s="508"/>
      <c r="CP40" s="508"/>
      <c r="CQ40" s="509"/>
      <c r="CR40" s="49"/>
      <c r="CS40" s="39"/>
      <c r="CT40" s="495"/>
      <c r="CU40" s="496"/>
      <c r="CV40" s="496"/>
      <c r="CW40" s="496"/>
      <c r="CX40" s="496"/>
      <c r="CY40" s="496"/>
      <c r="CZ40" s="496"/>
      <c r="DA40" s="496"/>
      <c r="DB40" s="496"/>
      <c r="DC40" s="496"/>
      <c r="DD40" s="496"/>
      <c r="DE40" s="496"/>
      <c r="DF40" s="496"/>
      <c r="DG40" s="496"/>
      <c r="DH40" s="496"/>
      <c r="DI40" s="496"/>
      <c r="DJ40" s="496"/>
      <c r="DK40" s="496"/>
      <c r="DL40" s="496"/>
      <c r="DM40" s="496"/>
      <c r="DN40" s="496"/>
      <c r="DO40" s="496"/>
      <c r="DP40" s="496"/>
      <c r="DQ40" s="496"/>
      <c r="DR40" s="496"/>
      <c r="DS40" s="496"/>
      <c r="DT40" s="496"/>
      <c r="DU40" s="496"/>
      <c r="DV40" s="496"/>
      <c r="DW40" s="497"/>
      <c r="DX40" s="49"/>
    </row>
    <row r="41" spans="1:128" ht="12" customHeight="1" x14ac:dyDescent="0.3">
      <c r="A41" s="90"/>
      <c r="B41" s="495"/>
      <c r="C41" s="496"/>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B41" s="496"/>
      <c r="AC41" s="496"/>
      <c r="AD41" s="496"/>
      <c r="AE41" s="497"/>
      <c r="AF41" s="92"/>
      <c r="AG41" s="83"/>
      <c r="AH41" s="501"/>
      <c r="AI41" s="502"/>
      <c r="AJ41" s="502"/>
      <c r="AK41" s="502"/>
      <c r="AL41" s="502"/>
      <c r="AM41" s="502"/>
      <c r="AN41" s="502"/>
      <c r="AO41" s="502"/>
      <c r="AP41" s="502"/>
      <c r="AQ41" s="502"/>
      <c r="AR41" s="502"/>
      <c r="AS41" s="502"/>
      <c r="AT41" s="502"/>
      <c r="AU41" s="502"/>
      <c r="AV41" s="502"/>
      <c r="AW41" s="502"/>
      <c r="AX41" s="502"/>
      <c r="AY41" s="502"/>
      <c r="AZ41" s="502"/>
      <c r="BA41" s="502"/>
      <c r="BB41" s="502"/>
      <c r="BC41" s="502"/>
      <c r="BD41" s="502"/>
      <c r="BE41" s="502"/>
      <c r="BF41" s="502"/>
      <c r="BG41" s="502"/>
      <c r="BH41" s="502"/>
      <c r="BI41" s="502"/>
      <c r="BJ41" s="502"/>
      <c r="BK41" s="503"/>
      <c r="BL41" s="84"/>
      <c r="BM41" s="39"/>
      <c r="BN41" s="507"/>
      <c r="BO41" s="508"/>
      <c r="BP41" s="508"/>
      <c r="BQ41" s="508"/>
      <c r="BR41" s="508"/>
      <c r="BS41" s="508"/>
      <c r="BT41" s="508"/>
      <c r="BU41" s="508"/>
      <c r="BV41" s="508"/>
      <c r="BW41" s="508"/>
      <c r="BX41" s="508"/>
      <c r="BY41" s="508"/>
      <c r="BZ41" s="508"/>
      <c r="CA41" s="508"/>
      <c r="CB41" s="508"/>
      <c r="CC41" s="508"/>
      <c r="CD41" s="508"/>
      <c r="CE41" s="508"/>
      <c r="CF41" s="508"/>
      <c r="CG41" s="508"/>
      <c r="CH41" s="508"/>
      <c r="CI41" s="508"/>
      <c r="CJ41" s="508"/>
      <c r="CK41" s="508"/>
      <c r="CL41" s="508"/>
      <c r="CM41" s="508"/>
      <c r="CN41" s="508"/>
      <c r="CO41" s="508"/>
      <c r="CP41" s="508"/>
      <c r="CQ41" s="509"/>
      <c r="CR41" s="49"/>
      <c r="CS41" s="39"/>
      <c r="CT41" s="495"/>
      <c r="CU41" s="496"/>
      <c r="CV41" s="496"/>
      <c r="CW41" s="496"/>
      <c r="CX41" s="496"/>
      <c r="CY41" s="496"/>
      <c r="CZ41" s="496"/>
      <c r="DA41" s="496"/>
      <c r="DB41" s="496"/>
      <c r="DC41" s="496"/>
      <c r="DD41" s="496"/>
      <c r="DE41" s="496"/>
      <c r="DF41" s="496"/>
      <c r="DG41" s="496"/>
      <c r="DH41" s="496"/>
      <c r="DI41" s="496"/>
      <c r="DJ41" s="496"/>
      <c r="DK41" s="496"/>
      <c r="DL41" s="496"/>
      <c r="DM41" s="496"/>
      <c r="DN41" s="496"/>
      <c r="DO41" s="496"/>
      <c r="DP41" s="496"/>
      <c r="DQ41" s="496"/>
      <c r="DR41" s="496"/>
      <c r="DS41" s="496"/>
      <c r="DT41" s="496"/>
      <c r="DU41" s="496"/>
      <c r="DV41" s="496"/>
      <c r="DW41" s="497"/>
      <c r="DX41" s="49"/>
    </row>
    <row r="42" spans="1:128" ht="12" customHeight="1" x14ac:dyDescent="0.3">
      <c r="A42" s="90"/>
      <c r="B42" s="495"/>
      <c r="C42" s="496"/>
      <c r="D42" s="496"/>
      <c r="E42" s="496"/>
      <c r="F42" s="496"/>
      <c r="G42" s="496"/>
      <c r="H42" s="496"/>
      <c r="I42" s="496"/>
      <c r="J42" s="496"/>
      <c r="K42" s="496"/>
      <c r="L42" s="496"/>
      <c r="M42" s="496"/>
      <c r="N42" s="496"/>
      <c r="O42" s="496"/>
      <c r="P42" s="496"/>
      <c r="Q42" s="496"/>
      <c r="R42" s="496"/>
      <c r="S42" s="496"/>
      <c r="T42" s="496"/>
      <c r="U42" s="496"/>
      <c r="V42" s="496"/>
      <c r="W42" s="496"/>
      <c r="X42" s="496"/>
      <c r="Y42" s="496"/>
      <c r="Z42" s="496"/>
      <c r="AA42" s="496"/>
      <c r="AB42" s="496"/>
      <c r="AC42" s="496"/>
      <c r="AD42" s="496"/>
      <c r="AE42" s="497"/>
      <c r="AF42" s="92"/>
      <c r="AG42" s="83"/>
      <c r="AH42" s="501"/>
      <c r="AI42" s="502"/>
      <c r="AJ42" s="502"/>
      <c r="AK42" s="502"/>
      <c r="AL42" s="502"/>
      <c r="AM42" s="502"/>
      <c r="AN42" s="502"/>
      <c r="AO42" s="502"/>
      <c r="AP42" s="502"/>
      <c r="AQ42" s="502"/>
      <c r="AR42" s="502"/>
      <c r="AS42" s="502"/>
      <c r="AT42" s="502"/>
      <c r="AU42" s="502"/>
      <c r="AV42" s="502"/>
      <c r="AW42" s="502"/>
      <c r="AX42" s="502"/>
      <c r="AY42" s="502"/>
      <c r="AZ42" s="502"/>
      <c r="BA42" s="502"/>
      <c r="BB42" s="502"/>
      <c r="BC42" s="502"/>
      <c r="BD42" s="502"/>
      <c r="BE42" s="502"/>
      <c r="BF42" s="502"/>
      <c r="BG42" s="502"/>
      <c r="BH42" s="502"/>
      <c r="BI42" s="502"/>
      <c r="BJ42" s="502"/>
      <c r="BK42" s="503"/>
      <c r="BL42" s="84"/>
      <c r="BM42" s="39"/>
      <c r="BN42" s="507"/>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9"/>
      <c r="CR42" s="49"/>
      <c r="CS42" s="39"/>
      <c r="CT42" s="495"/>
      <c r="CU42" s="496"/>
      <c r="CV42" s="496"/>
      <c r="CW42" s="496"/>
      <c r="CX42" s="496"/>
      <c r="CY42" s="496"/>
      <c r="CZ42" s="496"/>
      <c r="DA42" s="496"/>
      <c r="DB42" s="496"/>
      <c r="DC42" s="496"/>
      <c r="DD42" s="496"/>
      <c r="DE42" s="496"/>
      <c r="DF42" s="496"/>
      <c r="DG42" s="496"/>
      <c r="DH42" s="496"/>
      <c r="DI42" s="496"/>
      <c r="DJ42" s="496"/>
      <c r="DK42" s="496"/>
      <c r="DL42" s="496"/>
      <c r="DM42" s="496"/>
      <c r="DN42" s="496"/>
      <c r="DO42" s="496"/>
      <c r="DP42" s="496"/>
      <c r="DQ42" s="496"/>
      <c r="DR42" s="496"/>
      <c r="DS42" s="496"/>
      <c r="DT42" s="496"/>
      <c r="DU42" s="496"/>
      <c r="DV42" s="496"/>
      <c r="DW42" s="497"/>
      <c r="DX42" s="49"/>
    </row>
    <row r="43" spans="1:128" ht="12" customHeight="1" x14ac:dyDescent="0.3">
      <c r="A43" s="90"/>
      <c r="B43" s="495"/>
      <c r="C43" s="496"/>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A43" s="496"/>
      <c r="AB43" s="496"/>
      <c r="AC43" s="496"/>
      <c r="AD43" s="496"/>
      <c r="AE43" s="497"/>
      <c r="AF43" s="92"/>
      <c r="AG43" s="83"/>
      <c r="AH43" s="501"/>
      <c r="AI43" s="502"/>
      <c r="AJ43" s="502"/>
      <c r="AK43" s="502"/>
      <c r="AL43" s="502"/>
      <c r="AM43" s="502"/>
      <c r="AN43" s="502"/>
      <c r="AO43" s="502"/>
      <c r="AP43" s="502"/>
      <c r="AQ43" s="502"/>
      <c r="AR43" s="502"/>
      <c r="AS43" s="502"/>
      <c r="AT43" s="502"/>
      <c r="AU43" s="502"/>
      <c r="AV43" s="502"/>
      <c r="AW43" s="502"/>
      <c r="AX43" s="502"/>
      <c r="AY43" s="502"/>
      <c r="AZ43" s="502"/>
      <c r="BA43" s="502"/>
      <c r="BB43" s="502"/>
      <c r="BC43" s="502"/>
      <c r="BD43" s="502"/>
      <c r="BE43" s="502"/>
      <c r="BF43" s="502"/>
      <c r="BG43" s="502"/>
      <c r="BH43" s="502"/>
      <c r="BI43" s="502"/>
      <c r="BJ43" s="502"/>
      <c r="BK43" s="503"/>
      <c r="BL43" s="84"/>
      <c r="BM43" s="4"/>
      <c r="BN43" s="507"/>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9"/>
      <c r="CR43" s="5"/>
      <c r="CS43" s="4"/>
      <c r="CT43" s="495"/>
      <c r="CU43" s="496"/>
      <c r="CV43" s="496"/>
      <c r="CW43" s="496"/>
      <c r="CX43" s="496"/>
      <c r="CY43" s="496"/>
      <c r="CZ43" s="496"/>
      <c r="DA43" s="496"/>
      <c r="DB43" s="496"/>
      <c r="DC43" s="496"/>
      <c r="DD43" s="496"/>
      <c r="DE43" s="496"/>
      <c r="DF43" s="496"/>
      <c r="DG43" s="496"/>
      <c r="DH43" s="496"/>
      <c r="DI43" s="496"/>
      <c r="DJ43" s="496"/>
      <c r="DK43" s="496"/>
      <c r="DL43" s="496"/>
      <c r="DM43" s="496"/>
      <c r="DN43" s="496"/>
      <c r="DO43" s="496"/>
      <c r="DP43" s="496"/>
      <c r="DQ43" s="496"/>
      <c r="DR43" s="496"/>
      <c r="DS43" s="496"/>
      <c r="DT43" s="496"/>
      <c r="DU43" s="496"/>
      <c r="DV43" s="496"/>
      <c r="DW43" s="497"/>
      <c r="DX43" s="5"/>
    </row>
    <row r="44" spans="1:128" ht="12" customHeight="1" x14ac:dyDescent="0.3">
      <c r="A44" s="90"/>
      <c r="B44" s="495"/>
      <c r="C44" s="496"/>
      <c r="D44" s="496"/>
      <c r="E44" s="496"/>
      <c r="F44" s="496"/>
      <c r="G44" s="496"/>
      <c r="H44" s="496"/>
      <c r="I44" s="496"/>
      <c r="J44" s="496"/>
      <c r="K44" s="496"/>
      <c r="L44" s="496"/>
      <c r="M44" s="496"/>
      <c r="N44" s="496"/>
      <c r="O44" s="496"/>
      <c r="P44" s="496"/>
      <c r="Q44" s="496"/>
      <c r="R44" s="496"/>
      <c r="S44" s="496"/>
      <c r="T44" s="496"/>
      <c r="U44" s="496"/>
      <c r="V44" s="496"/>
      <c r="W44" s="496"/>
      <c r="X44" s="496"/>
      <c r="Y44" s="496"/>
      <c r="Z44" s="496"/>
      <c r="AA44" s="496"/>
      <c r="AB44" s="496"/>
      <c r="AC44" s="496"/>
      <c r="AD44" s="496"/>
      <c r="AE44" s="497"/>
      <c r="AF44" s="92"/>
      <c r="AG44" s="83"/>
      <c r="AH44" s="501"/>
      <c r="AI44" s="502"/>
      <c r="AJ44" s="502"/>
      <c r="AK44" s="502"/>
      <c r="AL44" s="502"/>
      <c r="AM44" s="502"/>
      <c r="AN44" s="502"/>
      <c r="AO44" s="502"/>
      <c r="AP44" s="502"/>
      <c r="AQ44" s="502"/>
      <c r="AR44" s="502"/>
      <c r="AS44" s="502"/>
      <c r="AT44" s="502"/>
      <c r="AU44" s="502"/>
      <c r="AV44" s="502"/>
      <c r="AW44" s="502"/>
      <c r="AX44" s="502"/>
      <c r="AY44" s="502"/>
      <c r="AZ44" s="502"/>
      <c r="BA44" s="502"/>
      <c r="BB44" s="502"/>
      <c r="BC44" s="502"/>
      <c r="BD44" s="502"/>
      <c r="BE44" s="502"/>
      <c r="BF44" s="502"/>
      <c r="BG44" s="502"/>
      <c r="BH44" s="502"/>
      <c r="BI44" s="502"/>
      <c r="BJ44" s="502"/>
      <c r="BK44" s="503"/>
      <c r="BL44" s="84"/>
      <c r="BM44" s="4"/>
      <c r="BN44" s="507"/>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9"/>
      <c r="CR44" s="5"/>
      <c r="CS44" s="4"/>
      <c r="CT44" s="495"/>
      <c r="CU44" s="496"/>
      <c r="CV44" s="496"/>
      <c r="CW44" s="496"/>
      <c r="CX44" s="496"/>
      <c r="CY44" s="496"/>
      <c r="CZ44" s="496"/>
      <c r="DA44" s="496"/>
      <c r="DB44" s="496"/>
      <c r="DC44" s="496"/>
      <c r="DD44" s="496"/>
      <c r="DE44" s="496"/>
      <c r="DF44" s="496"/>
      <c r="DG44" s="496"/>
      <c r="DH44" s="496"/>
      <c r="DI44" s="496"/>
      <c r="DJ44" s="496"/>
      <c r="DK44" s="496"/>
      <c r="DL44" s="496"/>
      <c r="DM44" s="496"/>
      <c r="DN44" s="496"/>
      <c r="DO44" s="496"/>
      <c r="DP44" s="496"/>
      <c r="DQ44" s="496"/>
      <c r="DR44" s="496"/>
      <c r="DS44" s="496"/>
      <c r="DT44" s="496"/>
      <c r="DU44" s="496"/>
      <c r="DV44" s="496"/>
      <c r="DW44" s="497"/>
      <c r="DX44" s="5"/>
    </row>
    <row r="45" spans="1:128" ht="12" customHeight="1" x14ac:dyDescent="0.3">
      <c r="A45" s="90"/>
      <c r="B45" s="495"/>
      <c r="C45" s="496"/>
      <c r="D45" s="496"/>
      <c r="E45" s="496"/>
      <c r="F45" s="496"/>
      <c r="G45" s="496"/>
      <c r="H45" s="496"/>
      <c r="I45" s="496"/>
      <c r="J45" s="496"/>
      <c r="K45" s="496"/>
      <c r="L45" s="496"/>
      <c r="M45" s="496"/>
      <c r="N45" s="496"/>
      <c r="O45" s="496"/>
      <c r="P45" s="496"/>
      <c r="Q45" s="496"/>
      <c r="R45" s="496"/>
      <c r="S45" s="496"/>
      <c r="T45" s="496"/>
      <c r="U45" s="496"/>
      <c r="V45" s="496"/>
      <c r="W45" s="496"/>
      <c r="X45" s="496"/>
      <c r="Y45" s="496"/>
      <c r="Z45" s="496"/>
      <c r="AA45" s="496"/>
      <c r="AB45" s="496"/>
      <c r="AC45" s="496"/>
      <c r="AD45" s="496"/>
      <c r="AE45" s="497"/>
      <c r="AF45" s="92"/>
      <c r="AG45" s="83"/>
      <c r="AH45" s="501"/>
      <c r="AI45" s="502"/>
      <c r="AJ45" s="502"/>
      <c r="AK45" s="502"/>
      <c r="AL45" s="502"/>
      <c r="AM45" s="502"/>
      <c r="AN45" s="502"/>
      <c r="AO45" s="502"/>
      <c r="AP45" s="502"/>
      <c r="AQ45" s="502"/>
      <c r="AR45" s="502"/>
      <c r="AS45" s="502"/>
      <c r="AT45" s="502"/>
      <c r="AU45" s="502"/>
      <c r="AV45" s="502"/>
      <c r="AW45" s="502"/>
      <c r="AX45" s="502"/>
      <c r="AY45" s="502"/>
      <c r="AZ45" s="502"/>
      <c r="BA45" s="502"/>
      <c r="BB45" s="502"/>
      <c r="BC45" s="502"/>
      <c r="BD45" s="502"/>
      <c r="BE45" s="502"/>
      <c r="BF45" s="502"/>
      <c r="BG45" s="502"/>
      <c r="BH45" s="502"/>
      <c r="BI45" s="502"/>
      <c r="BJ45" s="502"/>
      <c r="BK45" s="503"/>
      <c r="BL45" s="84"/>
      <c r="BM45" s="4"/>
      <c r="BN45" s="507"/>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9"/>
      <c r="CR45" s="5"/>
      <c r="CS45" s="4"/>
      <c r="CT45" s="495"/>
      <c r="CU45" s="496"/>
      <c r="CV45" s="496"/>
      <c r="CW45" s="496"/>
      <c r="CX45" s="496"/>
      <c r="CY45" s="496"/>
      <c r="CZ45" s="496"/>
      <c r="DA45" s="496"/>
      <c r="DB45" s="496"/>
      <c r="DC45" s="496"/>
      <c r="DD45" s="496"/>
      <c r="DE45" s="496"/>
      <c r="DF45" s="496"/>
      <c r="DG45" s="496"/>
      <c r="DH45" s="496"/>
      <c r="DI45" s="496"/>
      <c r="DJ45" s="496"/>
      <c r="DK45" s="496"/>
      <c r="DL45" s="496"/>
      <c r="DM45" s="496"/>
      <c r="DN45" s="496"/>
      <c r="DO45" s="496"/>
      <c r="DP45" s="496"/>
      <c r="DQ45" s="496"/>
      <c r="DR45" s="496"/>
      <c r="DS45" s="496"/>
      <c r="DT45" s="496"/>
      <c r="DU45" s="496"/>
      <c r="DV45" s="496"/>
      <c r="DW45" s="497"/>
      <c r="DX45" s="5"/>
    </row>
    <row r="46" spans="1:128" ht="12" customHeight="1" x14ac:dyDescent="0.3">
      <c r="A46" s="90"/>
      <c r="B46" s="495"/>
      <c r="C46" s="496"/>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7"/>
      <c r="AF46" s="92"/>
      <c r="AG46" s="83"/>
      <c r="AH46" s="501"/>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3"/>
      <c r="BL46" s="84"/>
      <c r="BM46" s="4"/>
      <c r="BN46" s="507"/>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9"/>
      <c r="CR46" s="5"/>
      <c r="CS46" s="4"/>
      <c r="CT46" s="495"/>
      <c r="CU46" s="496"/>
      <c r="CV46" s="496"/>
      <c r="CW46" s="496"/>
      <c r="CX46" s="496"/>
      <c r="CY46" s="496"/>
      <c r="CZ46" s="496"/>
      <c r="DA46" s="496"/>
      <c r="DB46" s="496"/>
      <c r="DC46" s="496"/>
      <c r="DD46" s="496"/>
      <c r="DE46" s="496"/>
      <c r="DF46" s="496"/>
      <c r="DG46" s="496"/>
      <c r="DH46" s="496"/>
      <c r="DI46" s="496"/>
      <c r="DJ46" s="496"/>
      <c r="DK46" s="496"/>
      <c r="DL46" s="496"/>
      <c r="DM46" s="496"/>
      <c r="DN46" s="496"/>
      <c r="DO46" s="496"/>
      <c r="DP46" s="496"/>
      <c r="DQ46" s="496"/>
      <c r="DR46" s="496"/>
      <c r="DS46" s="496"/>
      <c r="DT46" s="496"/>
      <c r="DU46" s="496"/>
      <c r="DV46" s="496"/>
      <c r="DW46" s="497"/>
      <c r="DX46" s="5"/>
    </row>
    <row r="47" spans="1:128" ht="12" customHeight="1" x14ac:dyDescent="0.3">
      <c r="A47" s="90"/>
      <c r="B47" s="495"/>
      <c r="C47" s="496"/>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7"/>
      <c r="AF47" s="92"/>
      <c r="AG47" s="83"/>
      <c r="AH47" s="501"/>
      <c r="AI47" s="502"/>
      <c r="AJ47" s="502"/>
      <c r="AK47" s="502"/>
      <c r="AL47" s="502"/>
      <c r="AM47" s="502"/>
      <c r="AN47" s="502"/>
      <c r="AO47" s="502"/>
      <c r="AP47" s="502"/>
      <c r="AQ47" s="502"/>
      <c r="AR47" s="502"/>
      <c r="AS47" s="502"/>
      <c r="AT47" s="502"/>
      <c r="AU47" s="502"/>
      <c r="AV47" s="502"/>
      <c r="AW47" s="502"/>
      <c r="AX47" s="502"/>
      <c r="AY47" s="502"/>
      <c r="AZ47" s="502"/>
      <c r="BA47" s="502"/>
      <c r="BB47" s="502"/>
      <c r="BC47" s="502"/>
      <c r="BD47" s="502"/>
      <c r="BE47" s="502"/>
      <c r="BF47" s="502"/>
      <c r="BG47" s="502"/>
      <c r="BH47" s="502"/>
      <c r="BI47" s="502"/>
      <c r="BJ47" s="502"/>
      <c r="BK47" s="503"/>
      <c r="BL47" s="84"/>
      <c r="BM47" s="4"/>
      <c r="BN47" s="507"/>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9"/>
      <c r="CR47" s="5"/>
      <c r="CS47" s="4"/>
      <c r="CT47" s="495"/>
      <c r="CU47" s="496"/>
      <c r="CV47" s="496"/>
      <c r="CW47" s="496"/>
      <c r="CX47" s="496"/>
      <c r="CY47" s="496"/>
      <c r="CZ47" s="496"/>
      <c r="DA47" s="496"/>
      <c r="DB47" s="496"/>
      <c r="DC47" s="496"/>
      <c r="DD47" s="496"/>
      <c r="DE47" s="496"/>
      <c r="DF47" s="496"/>
      <c r="DG47" s="496"/>
      <c r="DH47" s="496"/>
      <c r="DI47" s="496"/>
      <c r="DJ47" s="496"/>
      <c r="DK47" s="496"/>
      <c r="DL47" s="496"/>
      <c r="DM47" s="496"/>
      <c r="DN47" s="496"/>
      <c r="DO47" s="496"/>
      <c r="DP47" s="496"/>
      <c r="DQ47" s="496"/>
      <c r="DR47" s="496"/>
      <c r="DS47" s="496"/>
      <c r="DT47" s="496"/>
      <c r="DU47" s="496"/>
      <c r="DV47" s="496"/>
      <c r="DW47" s="497"/>
      <c r="DX47" s="5"/>
    </row>
    <row r="48" spans="1:128" ht="12" customHeight="1" x14ac:dyDescent="0.3">
      <c r="A48" s="90"/>
      <c r="B48" s="495"/>
      <c r="C48" s="496"/>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7"/>
      <c r="AF48" s="92"/>
      <c r="AG48" s="83"/>
      <c r="AH48" s="501"/>
      <c r="AI48" s="502"/>
      <c r="AJ48" s="502"/>
      <c r="AK48" s="502"/>
      <c r="AL48" s="502"/>
      <c r="AM48" s="502"/>
      <c r="AN48" s="502"/>
      <c r="AO48" s="502"/>
      <c r="AP48" s="502"/>
      <c r="AQ48" s="502"/>
      <c r="AR48" s="502"/>
      <c r="AS48" s="502"/>
      <c r="AT48" s="502"/>
      <c r="AU48" s="502"/>
      <c r="AV48" s="502"/>
      <c r="AW48" s="502"/>
      <c r="AX48" s="502"/>
      <c r="AY48" s="502"/>
      <c r="AZ48" s="502"/>
      <c r="BA48" s="502"/>
      <c r="BB48" s="502"/>
      <c r="BC48" s="502"/>
      <c r="BD48" s="502"/>
      <c r="BE48" s="502"/>
      <c r="BF48" s="502"/>
      <c r="BG48" s="502"/>
      <c r="BH48" s="502"/>
      <c r="BI48" s="502"/>
      <c r="BJ48" s="502"/>
      <c r="BK48" s="503"/>
      <c r="BL48" s="84"/>
      <c r="BM48" s="4"/>
      <c r="BN48" s="507"/>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9"/>
      <c r="CR48" s="5"/>
      <c r="CS48" s="4"/>
      <c r="CT48" s="495"/>
      <c r="CU48" s="496"/>
      <c r="CV48" s="496"/>
      <c r="CW48" s="496"/>
      <c r="CX48" s="496"/>
      <c r="CY48" s="496"/>
      <c r="CZ48" s="496"/>
      <c r="DA48" s="496"/>
      <c r="DB48" s="496"/>
      <c r="DC48" s="496"/>
      <c r="DD48" s="496"/>
      <c r="DE48" s="496"/>
      <c r="DF48" s="496"/>
      <c r="DG48" s="496"/>
      <c r="DH48" s="496"/>
      <c r="DI48" s="496"/>
      <c r="DJ48" s="496"/>
      <c r="DK48" s="496"/>
      <c r="DL48" s="496"/>
      <c r="DM48" s="496"/>
      <c r="DN48" s="496"/>
      <c r="DO48" s="496"/>
      <c r="DP48" s="496"/>
      <c r="DQ48" s="496"/>
      <c r="DR48" s="496"/>
      <c r="DS48" s="496"/>
      <c r="DT48" s="496"/>
      <c r="DU48" s="496"/>
      <c r="DV48" s="496"/>
      <c r="DW48" s="497"/>
      <c r="DX48" s="5"/>
    </row>
    <row r="49" spans="1:128" ht="12" customHeight="1" x14ac:dyDescent="0.3">
      <c r="A49" s="90"/>
      <c r="B49" s="495"/>
      <c r="C49" s="496"/>
      <c r="D49" s="496"/>
      <c r="E49" s="496"/>
      <c r="F49" s="496"/>
      <c r="G49" s="496"/>
      <c r="H49" s="496"/>
      <c r="I49" s="496"/>
      <c r="J49" s="496"/>
      <c r="K49" s="496"/>
      <c r="L49" s="496"/>
      <c r="M49" s="496"/>
      <c r="N49" s="496"/>
      <c r="O49" s="496"/>
      <c r="P49" s="496"/>
      <c r="Q49" s="496"/>
      <c r="R49" s="496"/>
      <c r="S49" s="496"/>
      <c r="T49" s="496"/>
      <c r="U49" s="496"/>
      <c r="V49" s="496"/>
      <c r="W49" s="496"/>
      <c r="X49" s="496"/>
      <c r="Y49" s="496"/>
      <c r="Z49" s="496"/>
      <c r="AA49" s="496"/>
      <c r="AB49" s="496"/>
      <c r="AC49" s="496"/>
      <c r="AD49" s="496"/>
      <c r="AE49" s="497"/>
      <c r="AF49" s="92"/>
      <c r="AG49" s="83"/>
      <c r="AH49" s="501"/>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3"/>
      <c r="BL49" s="84"/>
      <c r="BM49" s="4"/>
      <c r="BN49" s="507"/>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9"/>
      <c r="CR49" s="5"/>
      <c r="CS49" s="4"/>
      <c r="CT49" s="495"/>
      <c r="CU49" s="496"/>
      <c r="CV49" s="496"/>
      <c r="CW49" s="496"/>
      <c r="CX49" s="496"/>
      <c r="CY49" s="496"/>
      <c r="CZ49" s="496"/>
      <c r="DA49" s="496"/>
      <c r="DB49" s="496"/>
      <c r="DC49" s="496"/>
      <c r="DD49" s="496"/>
      <c r="DE49" s="496"/>
      <c r="DF49" s="496"/>
      <c r="DG49" s="496"/>
      <c r="DH49" s="496"/>
      <c r="DI49" s="496"/>
      <c r="DJ49" s="496"/>
      <c r="DK49" s="496"/>
      <c r="DL49" s="496"/>
      <c r="DM49" s="496"/>
      <c r="DN49" s="496"/>
      <c r="DO49" s="496"/>
      <c r="DP49" s="496"/>
      <c r="DQ49" s="496"/>
      <c r="DR49" s="496"/>
      <c r="DS49" s="496"/>
      <c r="DT49" s="496"/>
      <c r="DU49" s="496"/>
      <c r="DV49" s="496"/>
      <c r="DW49" s="497"/>
      <c r="DX49" s="5"/>
    </row>
    <row r="50" spans="1:128" ht="12" customHeight="1" x14ac:dyDescent="0.3">
      <c r="A50" s="90"/>
      <c r="B50" s="495"/>
      <c r="C50" s="496"/>
      <c r="D50" s="496"/>
      <c r="E50" s="496"/>
      <c r="F50" s="496"/>
      <c r="G50" s="496"/>
      <c r="H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7"/>
      <c r="AF50" s="92"/>
      <c r="AG50" s="83"/>
      <c r="AH50" s="501"/>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3"/>
      <c r="BL50" s="84"/>
      <c r="BM50" s="4"/>
      <c r="BN50" s="507"/>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9"/>
      <c r="CR50" s="5"/>
      <c r="CS50" s="4"/>
      <c r="CT50" s="495"/>
      <c r="CU50" s="496"/>
      <c r="CV50" s="496"/>
      <c r="CW50" s="496"/>
      <c r="CX50" s="496"/>
      <c r="CY50" s="496"/>
      <c r="CZ50" s="496"/>
      <c r="DA50" s="496"/>
      <c r="DB50" s="496"/>
      <c r="DC50" s="496"/>
      <c r="DD50" s="496"/>
      <c r="DE50" s="496"/>
      <c r="DF50" s="496"/>
      <c r="DG50" s="496"/>
      <c r="DH50" s="496"/>
      <c r="DI50" s="496"/>
      <c r="DJ50" s="496"/>
      <c r="DK50" s="496"/>
      <c r="DL50" s="496"/>
      <c r="DM50" s="496"/>
      <c r="DN50" s="496"/>
      <c r="DO50" s="496"/>
      <c r="DP50" s="496"/>
      <c r="DQ50" s="496"/>
      <c r="DR50" s="496"/>
      <c r="DS50" s="496"/>
      <c r="DT50" s="496"/>
      <c r="DU50" s="496"/>
      <c r="DV50" s="496"/>
      <c r="DW50" s="497"/>
      <c r="DX50" s="5"/>
    </row>
    <row r="51" spans="1:128" ht="12" customHeight="1" x14ac:dyDescent="0.3">
      <c r="A51" s="90"/>
      <c r="B51" s="495"/>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7"/>
      <c r="AF51" s="92"/>
      <c r="AG51" s="83"/>
      <c r="AH51" s="501"/>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3"/>
      <c r="BL51" s="84"/>
      <c r="BM51" s="4"/>
      <c r="BN51" s="507"/>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9"/>
      <c r="CR51" s="5"/>
      <c r="CS51" s="4"/>
      <c r="CT51" s="495"/>
      <c r="CU51" s="496"/>
      <c r="CV51" s="496"/>
      <c r="CW51" s="496"/>
      <c r="CX51" s="496"/>
      <c r="CY51" s="496"/>
      <c r="CZ51" s="496"/>
      <c r="DA51" s="496"/>
      <c r="DB51" s="496"/>
      <c r="DC51" s="496"/>
      <c r="DD51" s="496"/>
      <c r="DE51" s="496"/>
      <c r="DF51" s="496"/>
      <c r="DG51" s="496"/>
      <c r="DH51" s="496"/>
      <c r="DI51" s="496"/>
      <c r="DJ51" s="496"/>
      <c r="DK51" s="496"/>
      <c r="DL51" s="496"/>
      <c r="DM51" s="496"/>
      <c r="DN51" s="496"/>
      <c r="DO51" s="496"/>
      <c r="DP51" s="496"/>
      <c r="DQ51" s="496"/>
      <c r="DR51" s="496"/>
      <c r="DS51" s="496"/>
      <c r="DT51" s="496"/>
      <c r="DU51" s="496"/>
      <c r="DV51" s="496"/>
      <c r="DW51" s="497"/>
      <c r="DX51" s="5"/>
    </row>
    <row r="52" spans="1:128" ht="12" customHeight="1" x14ac:dyDescent="0.3">
      <c r="A52" s="90"/>
      <c r="B52" s="495"/>
      <c r="C52" s="496"/>
      <c r="D52" s="496"/>
      <c r="E52" s="496"/>
      <c r="F52" s="496"/>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7"/>
      <c r="AF52" s="92"/>
      <c r="AG52" s="83"/>
      <c r="AH52" s="501"/>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3"/>
      <c r="BL52" s="84"/>
      <c r="BM52" s="4"/>
      <c r="BN52" s="507"/>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9"/>
      <c r="CR52" s="5"/>
      <c r="CS52" s="4"/>
      <c r="CT52" s="495"/>
      <c r="CU52" s="496"/>
      <c r="CV52" s="496"/>
      <c r="CW52" s="496"/>
      <c r="CX52" s="496"/>
      <c r="CY52" s="496"/>
      <c r="CZ52" s="496"/>
      <c r="DA52" s="496"/>
      <c r="DB52" s="496"/>
      <c r="DC52" s="496"/>
      <c r="DD52" s="496"/>
      <c r="DE52" s="496"/>
      <c r="DF52" s="496"/>
      <c r="DG52" s="496"/>
      <c r="DH52" s="496"/>
      <c r="DI52" s="496"/>
      <c r="DJ52" s="496"/>
      <c r="DK52" s="496"/>
      <c r="DL52" s="496"/>
      <c r="DM52" s="496"/>
      <c r="DN52" s="496"/>
      <c r="DO52" s="496"/>
      <c r="DP52" s="496"/>
      <c r="DQ52" s="496"/>
      <c r="DR52" s="496"/>
      <c r="DS52" s="496"/>
      <c r="DT52" s="496"/>
      <c r="DU52" s="496"/>
      <c r="DV52" s="496"/>
      <c r="DW52" s="497"/>
      <c r="DX52" s="5"/>
    </row>
    <row r="53" spans="1:128" ht="12" customHeight="1" x14ac:dyDescent="0.3">
      <c r="A53" s="90"/>
      <c r="B53" s="495"/>
      <c r="C53" s="496"/>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7"/>
      <c r="AF53" s="92"/>
      <c r="AG53" s="83"/>
      <c r="AH53" s="501"/>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3"/>
      <c r="BL53" s="84"/>
      <c r="BM53" s="4"/>
      <c r="BN53" s="507"/>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9"/>
      <c r="CR53" s="5"/>
      <c r="CS53" s="4"/>
      <c r="CT53" s="495"/>
      <c r="CU53" s="496"/>
      <c r="CV53" s="496"/>
      <c r="CW53" s="496"/>
      <c r="CX53" s="496"/>
      <c r="CY53" s="496"/>
      <c r="CZ53" s="496"/>
      <c r="DA53" s="496"/>
      <c r="DB53" s="496"/>
      <c r="DC53" s="496"/>
      <c r="DD53" s="496"/>
      <c r="DE53" s="496"/>
      <c r="DF53" s="496"/>
      <c r="DG53" s="496"/>
      <c r="DH53" s="496"/>
      <c r="DI53" s="496"/>
      <c r="DJ53" s="496"/>
      <c r="DK53" s="496"/>
      <c r="DL53" s="496"/>
      <c r="DM53" s="496"/>
      <c r="DN53" s="496"/>
      <c r="DO53" s="496"/>
      <c r="DP53" s="496"/>
      <c r="DQ53" s="496"/>
      <c r="DR53" s="496"/>
      <c r="DS53" s="496"/>
      <c r="DT53" s="496"/>
      <c r="DU53" s="496"/>
      <c r="DV53" s="496"/>
      <c r="DW53" s="497"/>
      <c r="DX53" s="5"/>
    </row>
    <row r="54" spans="1:128" ht="12" customHeight="1" x14ac:dyDescent="0.3">
      <c r="A54" s="90"/>
      <c r="B54" s="495"/>
      <c r="C54" s="496"/>
      <c r="D54" s="496"/>
      <c r="E54" s="496"/>
      <c r="F54" s="496"/>
      <c r="G54" s="496"/>
      <c r="H54" s="496"/>
      <c r="I54" s="496"/>
      <c r="J54" s="496"/>
      <c r="K54" s="496"/>
      <c r="L54" s="496"/>
      <c r="M54" s="496"/>
      <c r="N54" s="496"/>
      <c r="O54" s="496"/>
      <c r="P54" s="496"/>
      <c r="Q54" s="496"/>
      <c r="R54" s="496"/>
      <c r="S54" s="496"/>
      <c r="T54" s="496"/>
      <c r="U54" s="496"/>
      <c r="V54" s="496"/>
      <c r="W54" s="496"/>
      <c r="X54" s="496"/>
      <c r="Y54" s="496"/>
      <c r="Z54" s="496"/>
      <c r="AA54" s="496"/>
      <c r="AB54" s="496"/>
      <c r="AC54" s="496"/>
      <c r="AD54" s="496"/>
      <c r="AE54" s="497"/>
      <c r="AF54" s="92"/>
      <c r="AG54" s="83"/>
      <c r="AH54" s="501"/>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3"/>
      <c r="BL54" s="84"/>
      <c r="BM54" s="4"/>
      <c r="BN54" s="507"/>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9"/>
      <c r="CR54" s="5"/>
      <c r="CS54" s="4"/>
      <c r="CT54" s="495"/>
      <c r="CU54" s="496"/>
      <c r="CV54" s="496"/>
      <c r="CW54" s="496"/>
      <c r="CX54" s="496"/>
      <c r="CY54" s="496"/>
      <c r="CZ54" s="496"/>
      <c r="DA54" s="496"/>
      <c r="DB54" s="496"/>
      <c r="DC54" s="496"/>
      <c r="DD54" s="496"/>
      <c r="DE54" s="496"/>
      <c r="DF54" s="496"/>
      <c r="DG54" s="496"/>
      <c r="DH54" s="496"/>
      <c r="DI54" s="496"/>
      <c r="DJ54" s="496"/>
      <c r="DK54" s="496"/>
      <c r="DL54" s="496"/>
      <c r="DM54" s="496"/>
      <c r="DN54" s="496"/>
      <c r="DO54" s="496"/>
      <c r="DP54" s="496"/>
      <c r="DQ54" s="496"/>
      <c r="DR54" s="496"/>
      <c r="DS54" s="496"/>
      <c r="DT54" s="496"/>
      <c r="DU54" s="496"/>
      <c r="DV54" s="496"/>
      <c r="DW54" s="497"/>
      <c r="DX54" s="5"/>
    </row>
    <row r="55" spans="1:128" ht="12" customHeight="1" x14ac:dyDescent="0.3">
      <c r="A55" s="90"/>
      <c r="B55" s="495"/>
      <c r="C55" s="496"/>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7"/>
      <c r="AF55" s="92"/>
      <c r="AG55" s="83"/>
      <c r="AH55" s="501"/>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3"/>
      <c r="BL55" s="84"/>
      <c r="BM55" s="4"/>
      <c r="BN55" s="507"/>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9"/>
      <c r="CR55" s="5"/>
      <c r="CS55" s="4"/>
      <c r="CT55" s="495"/>
      <c r="CU55" s="496"/>
      <c r="CV55" s="496"/>
      <c r="CW55" s="496"/>
      <c r="CX55" s="496"/>
      <c r="CY55" s="496"/>
      <c r="CZ55" s="496"/>
      <c r="DA55" s="496"/>
      <c r="DB55" s="496"/>
      <c r="DC55" s="496"/>
      <c r="DD55" s="496"/>
      <c r="DE55" s="496"/>
      <c r="DF55" s="496"/>
      <c r="DG55" s="496"/>
      <c r="DH55" s="496"/>
      <c r="DI55" s="496"/>
      <c r="DJ55" s="496"/>
      <c r="DK55" s="496"/>
      <c r="DL55" s="496"/>
      <c r="DM55" s="496"/>
      <c r="DN55" s="496"/>
      <c r="DO55" s="496"/>
      <c r="DP55" s="496"/>
      <c r="DQ55" s="496"/>
      <c r="DR55" s="496"/>
      <c r="DS55" s="496"/>
      <c r="DT55" s="496"/>
      <c r="DU55" s="496"/>
      <c r="DV55" s="496"/>
      <c r="DW55" s="497"/>
      <c r="DX55" s="5"/>
    </row>
    <row r="56" spans="1:128" ht="12" customHeight="1" x14ac:dyDescent="0.3">
      <c r="A56" s="90"/>
      <c r="B56" s="495"/>
      <c r="C56" s="496"/>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7"/>
      <c r="AF56" s="92"/>
      <c r="AG56" s="83"/>
      <c r="AH56" s="501"/>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3"/>
      <c r="BL56" s="84"/>
      <c r="BM56" s="31"/>
      <c r="BN56" s="507"/>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9"/>
      <c r="CR56" s="32"/>
      <c r="CS56" s="31"/>
      <c r="CT56" s="495"/>
      <c r="CU56" s="496"/>
      <c r="CV56" s="496"/>
      <c r="CW56" s="496"/>
      <c r="CX56" s="496"/>
      <c r="CY56" s="496"/>
      <c r="CZ56" s="496"/>
      <c r="DA56" s="496"/>
      <c r="DB56" s="496"/>
      <c r="DC56" s="496"/>
      <c r="DD56" s="496"/>
      <c r="DE56" s="496"/>
      <c r="DF56" s="496"/>
      <c r="DG56" s="496"/>
      <c r="DH56" s="496"/>
      <c r="DI56" s="496"/>
      <c r="DJ56" s="496"/>
      <c r="DK56" s="496"/>
      <c r="DL56" s="496"/>
      <c r="DM56" s="496"/>
      <c r="DN56" s="496"/>
      <c r="DO56" s="496"/>
      <c r="DP56" s="496"/>
      <c r="DQ56" s="496"/>
      <c r="DR56" s="496"/>
      <c r="DS56" s="496"/>
      <c r="DT56" s="496"/>
      <c r="DU56" s="496"/>
      <c r="DV56" s="496"/>
      <c r="DW56" s="497"/>
      <c r="DX56" s="32"/>
    </row>
    <row r="57" spans="1:128" ht="12" customHeight="1" x14ac:dyDescent="0.3">
      <c r="A57" s="90"/>
      <c r="B57" s="495"/>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7"/>
      <c r="AF57" s="92"/>
      <c r="AG57" s="83"/>
      <c r="AH57" s="501"/>
      <c r="AI57" s="502"/>
      <c r="AJ57" s="502"/>
      <c r="AK57" s="502"/>
      <c r="AL57" s="502"/>
      <c r="AM57" s="502"/>
      <c r="AN57" s="502"/>
      <c r="AO57" s="502"/>
      <c r="AP57" s="502"/>
      <c r="AQ57" s="502"/>
      <c r="AR57" s="502"/>
      <c r="AS57" s="502"/>
      <c r="AT57" s="502"/>
      <c r="AU57" s="502"/>
      <c r="AV57" s="502"/>
      <c r="AW57" s="502"/>
      <c r="AX57" s="502"/>
      <c r="AY57" s="502"/>
      <c r="AZ57" s="502"/>
      <c r="BA57" s="502"/>
      <c r="BB57" s="502"/>
      <c r="BC57" s="502"/>
      <c r="BD57" s="502"/>
      <c r="BE57" s="502"/>
      <c r="BF57" s="502"/>
      <c r="BG57" s="502"/>
      <c r="BH57" s="502"/>
      <c r="BI57" s="502"/>
      <c r="BJ57" s="502"/>
      <c r="BK57" s="503"/>
      <c r="BL57" s="84"/>
      <c r="BM57" s="31"/>
      <c r="BN57" s="507"/>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9"/>
      <c r="CR57" s="32"/>
      <c r="CS57" s="31"/>
      <c r="CT57" s="495"/>
      <c r="CU57" s="496"/>
      <c r="CV57" s="496"/>
      <c r="CW57" s="496"/>
      <c r="CX57" s="496"/>
      <c r="CY57" s="496"/>
      <c r="CZ57" s="496"/>
      <c r="DA57" s="496"/>
      <c r="DB57" s="496"/>
      <c r="DC57" s="496"/>
      <c r="DD57" s="496"/>
      <c r="DE57" s="496"/>
      <c r="DF57" s="496"/>
      <c r="DG57" s="496"/>
      <c r="DH57" s="496"/>
      <c r="DI57" s="496"/>
      <c r="DJ57" s="496"/>
      <c r="DK57" s="496"/>
      <c r="DL57" s="496"/>
      <c r="DM57" s="496"/>
      <c r="DN57" s="496"/>
      <c r="DO57" s="496"/>
      <c r="DP57" s="496"/>
      <c r="DQ57" s="496"/>
      <c r="DR57" s="496"/>
      <c r="DS57" s="496"/>
      <c r="DT57" s="496"/>
      <c r="DU57" s="496"/>
      <c r="DV57" s="496"/>
      <c r="DW57" s="497"/>
      <c r="DX57" s="32"/>
    </row>
    <row r="58" spans="1:128" ht="12" customHeight="1" x14ac:dyDescent="0.3">
      <c r="A58" s="90"/>
      <c r="B58" s="495"/>
      <c r="C58" s="496"/>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7"/>
      <c r="AF58" s="92"/>
      <c r="AG58" s="83"/>
      <c r="AH58" s="501"/>
      <c r="AI58" s="502"/>
      <c r="AJ58" s="502"/>
      <c r="AK58" s="502"/>
      <c r="AL58" s="502"/>
      <c r="AM58" s="502"/>
      <c r="AN58" s="502"/>
      <c r="AO58" s="502"/>
      <c r="AP58" s="502"/>
      <c r="AQ58" s="502"/>
      <c r="AR58" s="502"/>
      <c r="AS58" s="502"/>
      <c r="AT58" s="502"/>
      <c r="AU58" s="502"/>
      <c r="AV58" s="502"/>
      <c r="AW58" s="502"/>
      <c r="AX58" s="502"/>
      <c r="AY58" s="502"/>
      <c r="AZ58" s="502"/>
      <c r="BA58" s="502"/>
      <c r="BB58" s="502"/>
      <c r="BC58" s="502"/>
      <c r="BD58" s="502"/>
      <c r="BE58" s="502"/>
      <c r="BF58" s="502"/>
      <c r="BG58" s="502"/>
      <c r="BH58" s="502"/>
      <c r="BI58" s="502"/>
      <c r="BJ58" s="502"/>
      <c r="BK58" s="503"/>
      <c r="BL58" s="84"/>
      <c r="BM58" s="4"/>
      <c r="BN58" s="507"/>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9"/>
      <c r="CR58" s="5"/>
      <c r="CS58" s="4"/>
      <c r="CT58" s="495"/>
      <c r="CU58" s="496"/>
      <c r="CV58" s="496"/>
      <c r="CW58" s="496"/>
      <c r="CX58" s="496"/>
      <c r="CY58" s="496"/>
      <c r="CZ58" s="496"/>
      <c r="DA58" s="496"/>
      <c r="DB58" s="496"/>
      <c r="DC58" s="496"/>
      <c r="DD58" s="496"/>
      <c r="DE58" s="496"/>
      <c r="DF58" s="496"/>
      <c r="DG58" s="496"/>
      <c r="DH58" s="496"/>
      <c r="DI58" s="496"/>
      <c r="DJ58" s="496"/>
      <c r="DK58" s="496"/>
      <c r="DL58" s="496"/>
      <c r="DM58" s="496"/>
      <c r="DN58" s="496"/>
      <c r="DO58" s="496"/>
      <c r="DP58" s="496"/>
      <c r="DQ58" s="496"/>
      <c r="DR58" s="496"/>
      <c r="DS58" s="496"/>
      <c r="DT58" s="496"/>
      <c r="DU58" s="496"/>
      <c r="DV58" s="496"/>
      <c r="DW58" s="497"/>
      <c r="DX58" s="5"/>
    </row>
    <row r="59" spans="1:128" ht="12" customHeight="1" x14ac:dyDescent="0.3">
      <c r="A59" s="90"/>
      <c r="B59" s="495"/>
      <c r="C59" s="496"/>
      <c r="D59" s="496"/>
      <c r="E59" s="496"/>
      <c r="F59" s="496"/>
      <c r="G59" s="496"/>
      <c r="H59" s="496"/>
      <c r="I59" s="496"/>
      <c r="J59" s="496"/>
      <c r="K59" s="496"/>
      <c r="L59" s="496"/>
      <c r="M59" s="496"/>
      <c r="N59" s="496"/>
      <c r="O59" s="496"/>
      <c r="P59" s="496"/>
      <c r="Q59" s="496"/>
      <c r="R59" s="496"/>
      <c r="S59" s="496"/>
      <c r="T59" s="496"/>
      <c r="U59" s="496"/>
      <c r="V59" s="496"/>
      <c r="W59" s="496"/>
      <c r="X59" s="496"/>
      <c r="Y59" s="496"/>
      <c r="Z59" s="496"/>
      <c r="AA59" s="496"/>
      <c r="AB59" s="496"/>
      <c r="AC59" s="496"/>
      <c r="AD59" s="496"/>
      <c r="AE59" s="497"/>
      <c r="AF59" s="92"/>
      <c r="AG59" s="83"/>
      <c r="AH59" s="501"/>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3"/>
      <c r="BL59" s="84"/>
      <c r="BM59" s="4"/>
      <c r="BN59" s="507"/>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9"/>
      <c r="CR59" s="5"/>
      <c r="CS59" s="4"/>
      <c r="CT59" s="495"/>
      <c r="CU59" s="496"/>
      <c r="CV59" s="496"/>
      <c r="CW59" s="496"/>
      <c r="CX59" s="496"/>
      <c r="CY59" s="496"/>
      <c r="CZ59" s="496"/>
      <c r="DA59" s="496"/>
      <c r="DB59" s="496"/>
      <c r="DC59" s="496"/>
      <c r="DD59" s="496"/>
      <c r="DE59" s="496"/>
      <c r="DF59" s="496"/>
      <c r="DG59" s="496"/>
      <c r="DH59" s="496"/>
      <c r="DI59" s="496"/>
      <c r="DJ59" s="496"/>
      <c r="DK59" s="496"/>
      <c r="DL59" s="496"/>
      <c r="DM59" s="496"/>
      <c r="DN59" s="496"/>
      <c r="DO59" s="496"/>
      <c r="DP59" s="496"/>
      <c r="DQ59" s="496"/>
      <c r="DR59" s="496"/>
      <c r="DS59" s="496"/>
      <c r="DT59" s="496"/>
      <c r="DU59" s="496"/>
      <c r="DV59" s="496"/>
      <c r="DW59" s="497"/>
      <c r="DX59" s="5"/>
    </row>
    <row r="60" spans="1:128" ht="12" customHeight="1" x14ac:dyDescent="0.3">
      <c r="A60" s="90"/>
      <c r="B60" s="495"/>
      <c r="C60" s="496"/>
      <c r="D60" s="496"/>
      <c r="E60" s="496"/>
      <c r="F60" s="496"/>
      <c r="G60" s="496"/>
      <c r="H60" s="496"/>
      <c r="I60" s="496"/>
      <c r="J60" s="496"/>
      <c r="K60" s="496"/>
      <c r="L60" s="496"/>
      <c r="M60" s="496"/>
      <c r="N60" s="496"/>
      <c r="O60" s="496"/>
      <c r="P60" s="496"/>
      <c r="Q60" s="496"/>
      <c r="R60" s="496"/>
      <c r="S60" s="496"/>
      <c r="T60" s="496"/>
      <c r="U60" s="496"/>
      <c r="V60" s="496"/>
      <c r="W60" s="496"/>
      <c r="X60" s="496"/>
      <c r="Y60" s="496"/>
      <c r="Z60" s="496"/>
      <c r="AA60" s="496"/>
      <c r="AB60" s="496"/>
      <c r="AC60" s="496"/>
      <c r="AD60" s="496"/>
      <c r="AE60" s="497"/>
      <c r="AF60" s="92"/>
      <c r="AG60" s="83"/>
      <c r="AH60" s="501"/>
      <c r="AI60" s="502"/>
      <c r="AJ60" s="502"/>
      <c r="AK60" s="502"/>
      <c r="AL60" s="502"/>
      <c r="AM60" s="502"/>
      <c r="AN60" s="502"/>
      <c r="AO60" s="502"/>
      <c r="AP60" s="502"/>
      <c r="AQ60" s="502"/>
      <c r="AR60" s="502"/>
      <c r="AS60" s="502"/>
      <c r="AT60" s="502"/>
      <c r="AU60" s="502"/>
      <c r="AV60" s="502"/>
      <c r="AW60" s="502"/>
      <c r="AX60" s="502"/>
      <c r="AY60" s="502"/>
      <c r="AZ60" s="502"/>
      <c r="BA60" s="502"/>
      <c r="BB60" s="502"/>
      <c r="BC60" s="502"/>
      <c r="BD60" s="502"/>
      <c r="BE60" s="502"/>
      <c r="BF60" s="502"/>
      <c r="BG60" s="502"/>
      <c r="BH60" s="502"/>
      <c r="BI60" s="502"/>
      <c r="BJ60" s="502"/>
      <c r="BK60" s="503"/>
      <c r="BL60" s="84"/>
      <c r="BM60" s="4"/>
      <c r="BN60" s="507"/>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9"/>
      <c r="CR60" s="5"/>
      <c r="CS60" s="4"/>
      <c r="CT60" s="495"/>
      <c r="CU60" s="496"/>
      <c r="CV60" s="496"/>
      <c r="CW60" s="496"/>
      <c r="CX60" s="496"/>
      <c r="CY60" s="496"/>
      <c r="CZ60" s="496"/>
      <c r="DA60" s="496"/>
      <c r="DB60" s="496"/>
      <c r="DC60" s="496"/>
      <c r="DD60" s="496"/>
      <c r="DE60" s="496"/>
      <c r="DF60" s="496"/>
      <c r="DG60" s="496"/>
      <c r="DH60" s="496"/>
      <c r="DI60" s="496"/>
      <c r="DJ60" s="496"/>
      <c r="DK60" s="496"/>
      <c r="DL60" s="496"/>
      <c r="DM60" s="496"/>
      <c r="DN60" s="496"/>
      <c r="DO60" s="496"/>
      <c r="DP60" s="496"/>
      <c r="DQ60" s="496"/>
      <c r="DR60" s="496"/>
      <c r="DS60" s="496"/>
      <c r="DT60" s="496"/>
      <c r="DU60" s="496"/>
      <c r="DV60" s="496"/>
      <c r="DW60" s="497"/>
      <c r="DX60" s="5"/>
    </row>
    <row r="61" spans="1:128" ht="12" customHeight="1" x14ac:dyDescent="0.3">
      <c r="A61" s="90"/>
      <c r="B61" s="495"/>
      <c r="C61" s="496"/>
      <c r="D61" s="496"/>
      <c r="E61" s="496"/>
      <c r="F61" s="496"/>
      <c r="G61" s="496"/>
      <c r="H61" s="496"/>
      <c r="I61" s="496"/>
      <c r="J61" s="496"/>
      <c r="K61" s="496"/>
      <c r="L61" s="496"/>
      <c r="M61" s="496"/>
      <c r="N61" s="496"/>
      <c r="O61" s="496"/>
      <c r="P61" s="496"/>
      <c r="Q61" s="496"/>
      <c r="R61" s="496"/>
      <c r="S61" s="496"/>
      <c r="T61" s="496"/>
      <c r="U61" s="496"/>
      <c r="V61" s="496"/>
      <c r="W61" s="496"/>
      <c r="X61" s="496"/>
      <c r="Y61" s="496"/>
      <c r="Z61" s="496"/>
      <c r="AA61" s="496"/>
      <c r="AB61" s="496"/>
      <c r="AC61" s="496"/>
      <c r="AD61" s="496"/>
      <c r="AE61" s="497"/>
      <c r="AF61" s="92"/>
      <c r="AG61" s="83"/>
      <c r="AH61" s="501"/>
      <c r="AI61" s="502"/>
      <c r="AJ61" s="502"/>
      <c r="AK61" s="502"/>
      <c r="AL61" s="502"/>
      <c r="AM61" s="502"/>
      <c r="AN61" s="502"/>
      <c r="AO61" s="502"/>
      <c r="AP61" s="502"/>
      <c r="AQ61" s="502"/>
      <c r="AR61" s="502"/>
      <c r="AS61" s="502"/>
      <c r="AT61" s="502"/>
      <c r="AU61" s="502"/>
      <c r="AV61" s="502"/>
      <c r="AW61" s="502"/>
      <c r="AX61" s="502"/>
      <c r="AY61" s="502"/>
      <c r="AZ61" s="502"/>
      <c r="BA61" s="502"/>
      <c r="BB61" s="502"/>
      <c r="BC61" s="502"/>
      <c r="BD61" s="502"/>
      <c r="BE61" s="502"/>
      <c r="BF61" s="502"/>
      <c r="BG61" s="502"/>
      <c r="BH61" s="502"/>
      <c r="BI61" s="502"/>
      <c r="BJ61" s="502"/>
      <c r="BK61" s="503"/>
      <c r="BL61" s="84"/>
      <c r="BM61" s="4"/>
      <c r="BN61" s="507"/>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9"/>
      <c r="CR61" s="5"/>
      <c r="CS61" s="4"/>
      <c r="CT61" s="495"/>
      <c r="CU61" s="496"/>
      <c r="CV61" s="496"/>
      <c r="CW61" s="496"/>
      <c r="CX61" s="496"/>
      <c r="CY61" s="496"/>
      <c r="CZ61" s="496"/>
      <c r="DA61" s="496"/>
      <c r="DB61" s="496"/>
      <c r="DC61" s="496"/>
      <c r="DD61" s="496"/>
      <c r="DE61" s="496"/>
      <c r="DF61" s="496"/>
      <c r="DG61" s="496"/>
      <c r="DH61" s="496"/>
      <c r="DI61" s="496"/>
      <c r="DJ61" s="496"/>
      <c r="DK61" s="496"/>
      <c r="DL61" s="496"/>
      <c r="DM61" s="496"/>
      <c r="DN61" s="496"/>
      <c r="DO61" s="496"/>
      <c r="DP61" s="496"/>
      <c r="DQ61" s="496"/>
      <c r="DR61" s="496"/>
      <c r="DS61" s="496"/>
      <c r="DT61" s="496"/>
      <c r="DU61" s="496"/>
      <c r="DV61" s="496"/>
      <c r="DW61" s="497"/>
      <c r="DX61" s="5"/>
    </row>
    <row r="62" spans="1:128" ht="12" customHeight="1" x14ac:dyDescent="0.3">
      <c r="A62" s="90"/>
      <c r="B62" s="495"/>
      <c r="C62" s="496"/>
      <c r="D62" s="496"/>
      <c r="E62" s="496"/>
      <c r="F62" s="496"/>
      <c r="G62" s="496"/>
      <c r="H62" s="496"/>
      <c r="I62" s="496"/>
      <c r="J62" s="496"/>
      <c r="K62" s="496"/>
      <c r="L62" s="496"/>
      <c r="M62" s="496"/>
      <c r="N62" s="496"/>
      <c r="O62" s="496"/>
      <c r="P62" s="496"/>
      <c r="Q62" s="496"/>
      <c r="R62" s="496"/>
      <c r="S62" s="496"/>
      <c r="T62" s="496"/>
      <c r="U62" s="496"/>
      <c r="V62" s="496"/>
      <c r="W62" s="496"/>
      <c r="X62" s="496"/>
      <c r="Y62" s="496"/>
      <c r="Z62" s="496"/>
      <c r="AA62" s="496"/>
      <c r="AB62" s="496"/>
      <c r="AC62" s="496"/>
      <c r="AD62" s="496"/>
      <c r="AE62" s="497"/>
      <c r="AF62" s="92"/>
      <c r="AG62" s="83"/>
      <c r="AH62" s="501"/>
      <c r="AI62" s="502"/>
      <c r="AJ62" s="502"/>
      <c r="AK62" s="502"/>
      <c r="AL62" s="502"/>
      <c r="AM62" s="502"/>
      <c r="AN62" s="502"/>
      <c r="AO62" s="502"/>
      <c r="AP62" s="502"/>
      <c r="AQ62" s="502"/>
      <c r="AR62" s="502"/>
      <c r="AS62" s="502"/>
      <c r="AT62" s="502"/>
      <c r="AU62" s="502"/>
      <c r="AV62" s="502"/>
      <c r="AW62" s="502"/>
      <c r="AX62" s="502"/>
      <c r="AY62" s="502"/>
      <c r="AZ62" s="502"/>
      <c r="BA62" s="502"/>
      <c r="BB62" s="502"/>
      <c r="BC62" s="502"/>
      <c r="BD62" s="502"/>
      <c r="BE62" s="502"/>
      <c r="BF62" s="502"/>
      <c r="BG62" s="502"/>
      <c r="BH62" s="502"/>
      <c r="BI62" s="502"/>
      <c r="BJ62" s="502"/>
      <c r="BK62" s="503"/>
      <c r="BL62" s="84"/>
      <c r="BM62" s="4"/>
      <c r="BN62" s="507"/>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9"/>
      <c r="CR62" s="5"/>
      <c r="CS62" s="4"/>
      <c r="CT62" s="495"/>
      <c r="CU62" s="496"/>
      <c r="CV62" s="496"/>
      <c r="CW62" s="496"/>
      <c r="CX62" s="496"/>
      <c r="CY62" s="496"/>
      <c r="CZ62" s="496"/>
      <c r="DA62" s="496"/>
      <c r="DB62" s="496"/>
      <c r="DC62" s="496"/>
      <c r="DD62" s="496"/>
      <c r="DE62" s="496"/>
      <c r="DF62" s="496"/>
      <c r="DG62" s="496"/>
      <c r="DH62" s="496"/>
      <c r="DI62" s="496"/>
      <c r="DJ62" s="496"/>
      <c r="DK62" s="496"/>
      <c r="DL62" s="496"/>
      <c r="DM62" s="496"/>
      <c r="DN62" s="496"/>
      <c r="DO62" s="496"/>
      <c r="DP62" s="496"/>
      <c r="DQ62" s="496"/>
      <c r="DR62" s="496"/>
      <c r="DS62" s="496"/>
      <c r="DT62" s="496"/>
      <c r="DU62" s="496"/>
      <c r="DV62" s="496"/>
      <c r="DW62" s="497"/>
      <c r="DX62" s="5"/>
    </row>
    <row r="63" spans="1:128" ht="12" customHeight="1" x14ac:dyDescent="0.3">
      <c r="A63" s="90"/>
      <c r="B63" s="495"/>
      <c r="C63" s="496"/>
      <c r="D63" s="496"/>
      <c r="E63" s="496"/>
      <c r="F63" s="496"/>
      <c r="G63" s="496"/>
      <c r="H63" s="496"/>
      <c r="I63" s="496"/>
      <c r="J63" s="496"/>
      <c r="K63" s="496"/>
      <c r="L63" s="496"/>
      <c r="M63" s="496"/>
      <c r="N63" s="496"/>
      <c r="O63" s="496"/>
      <c r="P63" s="496"/>
      <c r="Q63" s="496"/>
      <c r="R63" s="496"/>
      <c r="S63" s="496"/>
      <c r="T63" s="496"/>
      <c r="U63" s="496"/>
      <c r="V63" s="496"/>
      <c r="W63" s="496"/>
      <c r="X63" s="496"/>
      <c r="Y63" s="496"/>
      <c r="Z63" s="496"/>
      <c r="AA63" s="496"/>
      <c r="AB63" s="496"/>
      <c r="AC63" s="496"/>
      <c r="AD63" s="496"/>
      <c r="AE63" s="497"/>
      <c r="AF63" s="92"/>
      <c r="AG63" s="83"/>
      <c r="AH63" s="501"/>
      <c r="AI63" s="502"/>
      <c r="AJ63" s="502"/>
      <c r="AK63" s="502"/>
      <c r="AL63" s="502"/>
      <c r="AM63" s="502"/>
      <c r="AN63" s="502"/>
      <c r="AO63" s="502"/>
      <c r="AP63" s="502"/>
      <c r="AQ63" s="502"/>
      <c r="AR63" s="502"/>
      <c r="AS63" s="502"/>
      <c r="AT63" s="502"/>
      <c r="AU63" s="502"/>
      <c r="AV63" s="502"/>
      <c r="AW63" s="502"/>
      <c r="AX63" s="502"/>
      <c r="AY63" s="502"/>
      <c r="AZ63" s="502"/>
      <c r="BA63" s="502"/>
      <c r="BB63" s="502"/>
      <c r="BC63" s="502"/>
      <c r="BD63" s="502"/>
      <c r="BE63" s="502"/>
      <c r="BF63" s="502"/>
      <c r="BG63" s="502"/>
      <c r="BH63" s="502"/>
      <c r="BI63" s="502"/>
      <c r="BJ63" s="502"/>
      <c r="BK63" s="503"/>
      <c r="BL63" s="84"/>
      <c r="BM63" s="4"/>
      <c r="BN63" s="507"/>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9"/>
      <c r="CR63" s="5"/>
      <c r="CS63" s="4"/>
      <c r="CT63" s="495"/>
      <c r="CU63" s="496"/>
      <c r="CV63" s="496"/>
      <c r="CW63" s="496"/>
      <c r="CX63" s="496"/>
      <c r="CY63" s="496"/>
      <c r="CZ63" s="496"/>
      <c r="DA63" s="496"/>
      <c r="DB63" s="496"/>
      <c r="DC63" s="496"/>
      <c r="DD63" s="496"/>
      <c r="DE63" s="496"/>
      <c r="DF63" s="496"/>
      <c r="DG63" s="496"/>
      <c r="DH63" s="496"/>
      <c r="DI63" s="496"/>
      <c r="DJ63" s="496"/>
      <c r="DK63" s="496"/>
      <c r="DL63" s="496"/>
      <c r="DM63" s="496"/>
      <c r="DN63" s="496"/>
      <c r="DO63" s="496"/>
      <c r="DP63" s="496"/>
      <c r="DQ63" s="496"/>
      <c r="DR63" s="496"/>
      <c r="DS63" s="496"/>
      <c r="DT63" s="496"/>
      <c r="DU63" s="496"/>
      <c r="DV63" s="496"/>
      <c r="DW63" s="497"/>
      <c r="DX63" s="5"/>
    </row>
    <row r="64" spans="1:128" ht="12" customHeight="1" x14ac:dyDescent="0.3">
      <c r="A64" s="90"/>
      <c r="B64" s="495"/>
      <c r="C64" s="496"/>
      <c r="D64" s="496"/>
      <c r="E64" s="496"/>
      <c r="F64" s="496"/>
      <c r="G64" s="496"/>
      <c r="H64" s="496"/>
      <c r="I64" s="496"/>
      <c r="J64" s="496"/>
      <c r="K64" s="496"/>
      <c r="L64" s="496"/>
      <c r="M64" s="496"/>
      <c r="N64" s="496"/>
      <c r="O64" s="496"/>
      <c r="P64" s="496"/>
      <c r="Q64" s="496"/>
      <c r="R64" s="496"/>
      <c r="S64" s="496"/>
      <c r="T64" s="496"/>
      <c r="U64" s="496"/>
      <c r="V64" s="496"/>
      <c r="W64" s="496"/>
      <c r="X64" s="496"/>
      <c r="Y64" s="496"/>
      <c r="Z64" s="496"/>
      <c r="AA64" s="496"/>
      <c r="AB64" s="496"/>
      <c r="AC64" s="496"/>
      <c r="AD64" s="496"/>
      <c r="AE64" s="497"/>
      <c r="AF64" s="92"/>
      <c r="AG64" s="83"/>
      <c r="AH64" s="501"/>
      <c r="AI64" s="502"/>
      <c r="AJ64" s="502"/>
      <c r="AK64" s="502"/>
      <c r="AL64" s="502"/>
      <c r="AM64" s="502"/>
      <c r="AN64" s="502"/>
      <c r="AO64" s="502"/>
      <c r="AP64" s="502"/>
      <c r="AQ64" s="502"/>
      <c r="AR64" s="502"/>
      <c r="AS64" s="502"/>
      <c r="AT64" s="502"/>
      <c r="AU64" s="502"/>
      <c r="AV64" s="502"/>
      <c r="AW64" s="502"/>
      <c r="AX64" s="502"/>
      <c r="AY64" s="502"/>
      <c r="AZ64" s="502"/>
      <c r="BA64" s="502"/>
      <c r="BB64" s="502"/>
      <c r="BC64" s="502"/>
      <c r="BD64" s="502"/>
      <c r="BE64" s="502"/>
      <c r="BF64" s="502"/>
      <c r="BG64" s="502"/>
      <c r="BH64" s="502"/>
      <c r="BI64" s="502"/>
      <c r="BJ64" s="502"/>
      <c r="BK64" s="503"/>
      <c r="BL64" s="84"/>
      <c r="BM64" s="4"/>
      <c r="BN64" s="507"/>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9"/>
      <c r="CR64" s="5"/>
      <c r="CS64" s="4"/>
      <c r="CT64" s="495"/>
      <c r="CU64" s="496"/>
      <c r="CV64" s="496"/>
      <c r="CW64" s="496"/>
      <c r="CX64" s="496"/>
      <c r="CY64" s="496"/>
      <c r="CZ64" s="496"/>
      <c r="DA64" s="496"/>
      <c r="DB64" s="496"/>
      <c r="DC64" s="496"/>
      <c r="DD64" s="496"/>
      <c r="DE64" s="496"/>
      <c r="DF64" s="496"/>
      <c r="DG64" s="496"/>
      <c r="DH64" s="496"/>
      <c r="DI64" s="496"/>
      <c r="DJ64" s="496"/>
      <c r="DK64" s="496"/>
      <c r="DL64" s="496"/>
      <c r="DM64" s="496"/>
      <c r="DN64" s="496"/>
      <c r="DO64" s="496"/>
      <c r="DP64" s="496"/>
      <c r="DQ64" s="496"/>
      <c r="DR64" s="496"/>
      <c r="DS64" s="496"/>
      <c r="DT64" s="496"/>
      <c r="DU64" s="496"/>
      <c r="DV64" s="496"/>
      <c r="DW64" s="497"/>
      <c r="DX64" s="5"/>
    </row>
    <row r="65" spans="1:128" ht="12" customHeight="1" x14ac:dyDescent="0.3">
      <c r="A65" s="90"/>
      <c r="B65" s="495"/>
      <c r="C65" s="496"/>
      <c r="D65" s="496"/>
      <c r="E65" s="496"/>
      <c r="F65" s="496"/>
      <c r="G65" s="496"/>
      <c r="H65" s="496"/>
      <c r="I65" s="496"/>
      <c r="J65" s="496"/>
      <c r="K65" s="496"/>
      <c r="L65" s="496"/>
      <c r="M65" s="496"/>
      <c r="N65" s="496"/>
      <c r="O65" s="496"/>
      <c r="P65" s="496"/>
      <c r="Q65" s="496"/>
      <c r="R65" s="496"/>
      <c r="S65" s="496"/>
      <c r="T65" s="496"/>
      <c r="U65" s="496"/>
      <c r="V65" s="496"/>
      <c r="W65" s="496"/>
      <c r="X65" s="496"/>
      <c r="Y65" s="496"/>
      <c r="Z65" s="496"/>
      <c r="AA65" s="496"/>
      <c r="AB65" s="496"/>
      <c r="AC65" s="496"/>
      <c r="AD65" s="496"/>
      <c r="AE65" s="497"/>
      <c r="AF65" s="92"/>
      <c r="AG65" s="83"/>
      <c r="AH65" s="501"/>
      <c r="AI65" s="502"/>
      <c r="AJ65" s="502"/>
      <c r="AK65" s="502"/>
      <c r="AL65" s="502"/>
      <c r="AM65" s="502"/>
      <c r="AN65" s="502"/>
      <c r="AO65" s="502"/>
      <c r="AP65" s="502"/>
      <c r="AQ65" s="502"/>
      <c r="AR65" s="502"/>
      <c r="AS65" s="502"/>
      <c r="AT65" s="502"/>
      <c r="AU65" s="502"/>
      <c r="AV65" s="502"/>
      <c r="AW65" s="502"/>
      <c r="AX65" s="502"/>
      <c r="AY65" s="502"/>
      <c r="AZ65" s="502"/>
      <c r="BA65" s="502"/>
      <c r="BB65" s="502"/>
      <c r="BC65" s="502"/>
      <c r="BD65" s="502"/>
      <c r="BE65" s="502"/>
      <c r="BF65" s="502"/>
      <c r="BG65" s="502"/>
      <c r="BH65" s="502"/>
      <c r="BI65" s="502"/>
      <c r="BJ65" s="502"/>
      <c r="BK65" s="503"/>
      <c r="BL65" s="84"/>
      <c r="BM65" s="4"/>
      <c r="BN65" s="507"/>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9"/>
      <c r="CR65" s="5"/>
      <c r="CS65" s="4"/>
      <c r="CT65" s="495"/>
      <c r="CU65" s="496"/>
      <c r="CV65" s="496"/>
      <c r="CW65" s="496"/>
      <c r="CX65" s="496"/>
      <c r="CY65" s="496"/>
      <c r="CZ65" s="496"/>
      <c r="DA65" s="496"/>
      <c r="DB65" s="496"/>
      <c r="DC65" s="496"/>
      <c r="DD65" s="496"/>
      <c r="DE65" s="496"/>
      <c r="DF65" s="496"/>
      <c r="DG65" s="496"/>
      <c r="DH65" s="496"/>
      <c r="DI65" s="496"/>
      <c r="DJ65" s="496"/>
      <c r="DK65" s="496"/>
      <c r="DL65" s="496"/>
      <c r="DM65" s="496"/>
      <c r="DN65" s="496"/>
      <c r="DO65" s="496"/>
      <c r="DP65" s="496"/>
      <c r="DQ65" s="496"/>
      <c r="DR65" s="496"/>
      <c r="DS65" s="496"/>
      <c r="DT65" s="496"/>
      <c r="DU65" s="496"/>
      <c r="DV65" s="496"/>
      <c r="DW65" s="497"/>
      <c r="DX65" s="5"/>
    </row>
    <row r="66" spans="1:128" ht="12" customHeight="1" x14ac:dyDescent="0.3">
      <c r="A66" s="90"/>
      <c r="B66" s="495"/>
      <c r="C66" s="496"/>
      <c r="D66" s="496"/>
      <c r="E66" s="496"/>
      <c r="F66" s="496"/>
      <c r="G66" s="496"/>
      <c r="H66" s="496"/>
      <c r="I66" s="496"/>
      <c r="J66" s="496"/>
      <c r="K66" s="496"/>
      <c r="L66" s="496"/>
      <c r="M66" s="496"/>
      <c r="N66" s="496"/>
      <c r="O66" s="496"/>
      <c r="P66" s="496"/>
      <c r="Q66" s="496"/>
      <c r="R66" s="496"/>
      <c r="S66" s="496"/>
      <c r="T66" s="496"/>
      <c r="U66" s="496"/>
      <c r="V66" s="496"/>
      <c r="W66" s="496"/>
      <c r="X66" s="496"/>
      <c r="Y66" s="496"/>
      <c r="Z66" s="496"/>
      <c r="AA66" s="496"/>
      <c r="AB66" s="496"/>
      <c r="AC66" s="496"/>
      <c r="AD66" s="496"/>
      <c r="AE66" s="497"/>
      <c r="AF66" s="92"/>
      <c r="AG66" s="83"/>
      <c r="AH66" s="501"/>
      <c r="AI66" s="502"/>
      <c r="AJ66" s="502"/>
      <c r="AK66" s="502"/>
      <c r="AL66" s="502"/>
      <c r="AM66" s="502"/>
      <c r="AN66" s="502"/>
      <c r="AO66" s="502"/>
      <c r="AP66" s="502"/>
      <c r="AQ66" s="502"/>
      <c r="AR66" s="502"/>
      <c r="AS66" s="502"/>
      <c r="AT66" s="502"/>
      <c r="AU66" s="502"/>
      <c r="AV66" s="502"/>
      <c r="AW66" s="502"/>
      <c r="AX66" s="502"/>
      <c r="AY66" s="502"/>
      <c r="AZ66" s="502"/>
      <c r="BA66" s="502"/>
      <c r="BB66" s="502"/>
      <c r="BC66" s="502"/>
      <c r="BD66" s="502"/>
      <c r="BE66" s="502"/>
      <c r="BF66" s="502"/>
      <c r="BG66" s="502"/>
      <c r="BH66" s="502"/>
      <c r="BI66" s="502"/>
      <c r="BJ66" s="502"/>
      <c r="BK66" s="503"/>
      <c r="BL66" s="84"/>
      <c r="BM66" s="4"/>
      <c r="BN66" s="507"/>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9"/>
      <c r="CR66" s="5"/>
      <c r="CS66" s="4"/>
      <c r="CT66" s="495"/>
      <c r="CU66" s="496"/>
      <c r="CV66" s="496"/>
      <c r="CW66" s="496"/>
      <c r="CX66" s="496"/>
      <c r="CY66" s="496"/>
      <c r="CZ66" s="496"/>
      <c r="DA66" s="496"/>
      <c r="DB66" s="496"/>
      <c r="DC66" s="496"/>
      <c r="DD66" s="496"/>
      <c r="DE66" s="496"/>
      <c r="DF66" s="496"/>
      <c r="DG66" s="496"/>
      <c r="DH66" s="496"/>
      <c r="DI66" s="496"/>
      <c r="DJ66" s="496"/>
      <c r="DK66" s="496"/>
      <c r="DL66" s="496"/>
      <c r="DM66" s="496"/>
      <c r="DN66" s="496"/>
      <c r="DO66" s="496"/>
      <c r="DP66" s="496"/>
      <c r="DQ66" s="496"/>
      <c r="DR66" s="496"/>
      <c r="DS66" s="496"/>
      <c r="DT66" s="496"/>
      <c r="DU66" s="496"/>
      <c r="DV66" s="496"/>
      <c r="DW66" s="497"/>
      <c r="DX66" s="5"/>
    </row>
    <row r="67" spans="1:128" ht="12" customHeight="1" x14ac:dyDescent="0.3">
      <c r="A67" s="90"/>
      <c r="B67" s="495"/>
      <c r="C67" s="496"/>
      <c r="D67" s="496"/>
      <c r="E67" s="496"/>
      <c r="F67" s="496"/>
      <c r="G67" s="496"/>
      <c r="H67" s="496"/>
      <c r="I67" s="496"/>
      <c r="J67" s="496"/>
      <c r="K67" s="496"/>
      <c r="L67" s="496"/>
      <c r="M67" s="496"/>
      <c r="N67" s="496"/>
      <c r="O67" s="496"/>
      <c r="P67" s="496"/>
      <c r="Q67" s="496"/>
      <c r="R67" s="496"/>
      <c r="S67" s="496"/>
      <c r="T67" s="496"/>
      <c r="U67" s="496"/>
      <c r="V67" s="496"/>
      <c r="W67" s="496"/>
      <c r="X67" s="496"/>
      <c r="Y67" s="496"/>
      <c r="Z67" s="496"/>
      <c r="AA67" s="496"/>
      <c r="AB67" s="496"/>
      <c r="AC67" s="496"/>
      <c r="AD67" s="496"/>
      <c r="AE67" s="497"/>
      <c r="AF67" s="92"/>
      <c r="AG67" s="83"/>
      <c r="AH67" s="501"/>
      <c r="AI67" s="502"/>
      <c r="AJ67" s="502"/>
      <c r="AK67" s="502"/>
      <c r="AL67" s="502"/>
      <c r="AM67" s="502"/>
      <c r="AN67" s="502"/>
      <c r="AO67" s="502"/>
      <c r="AP67" s="502"/>
      <c r="AQ67" s="502"/>
      <c r="AR67" s="502"/>
      <c r="AS67" s="502"/>
      <c r="AT67" s="502"/>
      <c r="AU67" s="502"/>
      <c r="AV67" s="502"/>
      <c r="AW67" s="502"/>
      <c r="AX67" s="502"/>
      <c r="AY67" s="502"/>
      <c r="AZ67" s="502"/>
      <c r="BA67" s="502"/>
      <c r="BB67" s="502"/>
      <c r="BC67" s="502"/>
      <c r="BD67" s="502"/>
      <c r="BE67" s="502"/>
      <c r="BF67" s="502"/>
      <c r="BG67" s="502"/>
      <c r="BH67" s="502"/>
      <c r="BI67" s="502"/>
      <c r="BJ67" s="502"/>
      <c r="BK67" s="503"/>
      <c r="BL67" s="84"/>
      <c r="BM67" s="4"/>
      <c r="BN67" s="507"/>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9"/>
      <c r="CR67" s="5"/>
      <c r="CS67" s="4"/>
      <c r="CT67" s="495"/>
      <c r="CU67" s="496"/>
      <c r="CV67" s="496"/>
      <c r="CW67" s="496"/>
      <c r="CX67" s="496"/>
      <c r="CY67" s="496"/>
      <c r="CZ67" s="496"/>
      <c r="DA67" s="496"/>
      <c r="DB67" s="496"/>
      <c r="DC67" s="496"/>
      <c r="DD67" s="496"/>
      <c r="DE67" s="496"/>
      <c r="DF67" s="496"/>
      <c r="DG67" s="496"/>
      <c r="DH67" s="496"/>
      <c r="DI67" s="496"/>
      <c r="DJ67" s="496"/>
      <c r="DK67" s="496"/>
      <c r="DL67" s="496"/>
      <c r="DM67" s="496"/>
      <c r="DN67" s="496"/>
      <c r="DO67" s="496"/>
      <c r="DP67" s="496"/>
      <c r="DQ67" s="496"/>
      <c r="DR67" s="496"/>
      <c r="DS67" s="496"/>
      <c r="DT67" s="496"/>
      <c r="DU67" s="496"/>
      <c r="DV67" s="496"/>
      <c r="DW67" s="497"/>
      <c r="DX67" s="5"/>
    </row>
    <row r="68" spans="1:128" ht="12" customHeight="1" x14ac:dyDescent="0.3">
      <c r="A68" s="90"/>
      <c r="B68" s="495"/>
      <c r="C68" s="496"/>
      <c r="D68" s="496"/>
      <c r="E68" s="496"/>
      <c r="F68" s="496"/>
      <c r="G68" s="496"/>
      <c r="H68" s="496"/>
      <c r="I68" s="496"/>
      <c r="J68" s="496"/>
      <c r="K68" s="496"/>
      <c r="L68" s="496"/>
      <c r="M68" s="496"/>
      <c r="N68" s="496"/>
      <c r="O68" s="496"/>
      <c r="P68" s="496"/>
      <c r="Q68" s="496"/>
      <c r="R68" s="496"/>
      <c r="S68" s="496"/>
      <c r="T68" s="496"/>
      <c r="U68" s="496"/>
      <c r="V68" s="496"/>
      <c r="W68" s="496"/>
      <c r="X68" s="496"/>
      <c r="Y68" s="496"/>
      <c r="Z68" s="496"/>
      <c r="AA68" s="496"/>
      <c r="AB68" s="496"/>
      <c r="AC68" s="496"/>
      <c r="AD68" s="496"/>
      <c r="AE68" s="497"/>
      <c r="AF68" s="92"/>
      <c r="AG68" s="83"/>
      <c r="AH68" s="501"/>
      <c r="AI68" s="502"/>
      <c r="AJ68" s="502"/>
      <c r="AK68" s="502"/>
      <c r="AL68" s="502"/>
      <c r="AM68" s="502"/>
      <c r="AN68" s="502"/>
      <c r="AO68" s="502"/>
      <c r="AP68" s="502"/>
      <c r="AQ68" s="502"/>
      <c r="AR68" s="502"/>
      <c r="AS68" s="502"/>
      <c r="AT68" s="502"/>
      <c r="AU68" s="502"/>
      <c r="AV68" s="502"/>
      <c r="AW68" s="502"/>
      <c r="AX68" s="502"/>
      <c r="AY68" s="502"/>
      <c r="AZ68" s="502"/>
      <c r="BA68" s="502"/>
      <c r="BB68" s="502"/>
      <c r="BC68" s="502"/>
      <c r="BD68" s="502"/>
      <c r="BE68" s="502"/>
      <c r="BF68" s="502"/>
      <c r="BG68" s="502"/>
      <c r="BH68" s="502"/>
      <c r="BI68" s="502"/>
      <c r="BJ68" s="502"/>
      <c r="BK68" s="503"/>
      <c r="BL68" s="84"/>
      <c r="BM68" s="4"/>
      <c r="BN68" s="507"/>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9"/>
      <c r="CR68" s="5"/>
      <c r="CS68" s="4"/>
      <c r="CT68" s="495"/>
      <c r="CU68" s="496"/>
      <c r="CV68" s="496"/>
      <c r="CW68" s="496"/>
      <c r="CX68" s="496"/>
      <c r="CY68" s="496"/>
      <c r="CZ68" s="496"/>
      <c r="DA68" s="496"/>
      <c r="DB68" s="496"/>
      <c r="DC68" s="496"/>
      <c r="DD68" s="496"/>
      <c r="DE68" s="496"/>
      <c r="DF68" s="496"/>
      <c r="DG68" s="496"/>
      <c r="DH68" s="496"/>
      <c r="DI68" s="496"/>
      <c r="DJ68" s="496"/>
      <c r="DK68" s="496"/>
      <c r="DL68" s="496"/>
      <c r="DM68" s="496"/>
      <c r="DN68" s="496"/>
      <c r="DO68" s="496"/>
      <c r="DP68" s="496"/>
      <c r="DQ68" s="496"/>
      <c r="DR68" s="496"/>
      <c r="DS68" s="496"/>
      <c r="DT68" s="496"/>
      <c r="DU68" s="496"/>
      <c r="DV68" s="496"/>
      <c r="DW68" s="497"/>
      <c r="DX68" s="5"/>
    </row>
    <row r="69" spans="1:128" ht="12" customHeight="1" x14ac:dyDescent="0.3">
      <c r="A69" s="90"/>
      <c r="B69" s="495"/>
      <c r="C69" s="496"/>
      <c r="D69" s="496"/>
      <c r="E69" s="496"/>
      <c r="F69" s="496"/>
      <c r="G69" s="496"/>
      <c r="H69" s="496"/>
      <c r="I69" s="496"/>
      <c r="J69" s="496"/>
      <c r="K69" s="496"/>
      <c r="L69" s="496"/>
      <c r="M69" s="496"/>
      <c r="N69" s="496"/>
      <c r="O69" s="496"/>
      <c r="P69" s="496"/>
      <c r="Q69" s="496"/>
      <c r="R69" s="496"/>
      <c r="S69" s="496"/>
      <c r="T69" s="496"/>
      <c r="U69" s="496"/>
      <c r="V69" s="496"/>
      <c r="W69" s="496"/>
      <c r="X69" s="496"/>
      <c r="Y69" s="496"/>
      <c r="Z69" s="496"/>
      <c r="AA69" s="496"/>
      <c r="AB69" s="496"/>
      <c r="AC69" s="496"/>
      <c r="AD69" s="496"/>
      <c r="AE69" s="497"/>
      <c r="AF69" s="92"/>
      <c r="AG69" s="83"/>
      <c r="AH69" s="501"/>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3"/>
      <c r="BL69" s="84"/>
      <c r="BM69" s="31"/>
      <c r="BN69" s="507"/>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9"/>
      <c r="CR69" s="32"/>
      <c r="CS69" s="31"/>
      <c r="CT69" s="495"/>
      <c r="CU69" s="496"/>
      <c r="CV69" s="496"/>
      <c r="CW69" s="496"/>
      <c r="CX69" s="496"/>
      <c r="CY69" s="496"/>
      <c r="CZ69" s="496"/>
      <c r="DA69" s="496"/>
      <c r="DB69" s="496"/>
      <c r="DC69" s="496"/>
      <c r="DD69" s="496"/>
      <c r="DE69" s="496"/>
      <c r="DF69" s="496"/>
      <c r="DG69" s="496"/>
      <c r="DH69" s="496"/>
      <c r="DI69" s="496"/>
      <c r="DJ69" s="496"/>
      <c r="DK69" s="496"/>
      <c r="DL69" s="496"/>
      <c r="DM69" s="496"/>
      <c r="DN69" s="496"/>
      <c r="DO69" s="496"/>
      <c r="DP69" s="496"/>
      <c r="DQ69" s="496"/>
      <c r="DR69" s="496"/>
      <c r="DS69" s="496"/>
      <c r="DT69" s="496"/>
      <c r="DU69" s="496"/>
      <c r="DV69" s="496"/>
      <c r="DW69" s="497"/>
      <c r="DX69" s="32"/>
    </row>
    <row r="70" spans="1:128" ht="12" customHeight="1" x14ac:dyDescent="0.3">
      <c r="A70" s="90"/>
      <c r="B70" s="495"/>
      <c r="C70" s="496"/>
      <c r="D70" s="496"/>
      <c r="E70" s="496"/>
      <c r="F70" s="496"/>
      <c r="G70" s="496"/>
      <c r="H70" s="496"/>
      <c r="I70" s="496"/>
      <c r="J70" s="496"/>
      <c r="K70" s="496"/>
      <c r="L70" s="496"/>
      <c r="M70" s="496"/>
      <c r="N70" s="496"/>
      <c r="O70" s="496"/>
      <c r="P70" s="496"/>
      <c r="Q70" s="496"/>
      <c r="R70" s="496"/>
      <c r="S70" s="496"/>
      <c r="T70" s="496"/>
      <c r="U70" s="496"/>
      <c r="V70" s="496"/>
      <c r="W70" s="496"/>
      <c r="X70" s="496"/>
      <c r="Y70" s="496"/>
      <c r="Z70" s="496"/>
      <c r="AA70" s="496"/>
      <c r="AB70" s="496"/>
      <c r="AC70" s="496"/>
      <c r="AD70" s="496"/>
      <c r="AE70" s="497"/>
      <c r="AF70" s="92"/>
      <c r="AG70" s="83"/>
      <c r="AH70" s="501"/>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3"/>
      <c r="BL70" s="84"/>
      <c r="BM70" s="31"/>
      <c r="BN70" s="507"/>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9"/>
      <c r="CR70" s="32"/>
      <c r="CS70" s="31"/>
      <c r="CT70" s="495"/>
      <c r="CU70" s="496"/>
      <c r="CV70" s="496"/>
      <c r="CW70" s="496"/>
      <c r="CX70" s="496"/>
      <c r="CY70" s="496"/>
      <c r="CZ70" s="496"/>
      <c r="DA70" s="496"/>
      <c r="DB70" s="496"/>
      <c r="DC70" s="496"/>
      <c r="DD70" s="496"/>
      <c r="DE70" s="496"/>
      <c r="DF70" s="496"/>
      <c r="DG70" s="496"/>
      <c r="DH70" s="496"/>
      <c r="DI70" s="496"/>
      <c r="DJ70" s="496"/>
      <c r="DK70" s="496"/>
      <c r="DL70" s="496"/>
      <c r="DM70" s="496"/>
      <c r="DN70" s="496"/>
      <c r="DO70" s="496"/>
      <c r="DP70" s="496"/>
      <c r="DQ70" s="496"/>
      <c r="DR70" s="496"/>
      <c r="DS70" s="496"/>
      <c r="DT70" s="496"/>
      <c r="DU70" s="496"/>
      <c r="DV70" s="496"/>
      <c r="DW70" s="497"/>
      <c r="DX70" s="32"/>
    </row>
    <row r="71" spans="1:128" ht="12" customHeight="1" x14ac:dyDescent="0.3">
      <c r="A71" s="90"/>
      <c r="B71" s="498"/>
      <c r="C71" s="499"/>
      <c r="D71" s="499"/>
      <c r="E71" s="499"/>
      <c r="F71" s="499"/>
      <c r="G71" s="499"/>
      <c r="H71" s="499"/>
      <c r="I71" s="499"/>
      <c r="J71" s="499"/>
      <c r="K71" s="499"/>
      <c r="L71" s="499"/>
      <c r="M71" s="499"/>
      <c r="N71" s="499"/>
      <c r="O71" s="499"/>
      <c r="P71" s="499"/>
      <c r="Q71" s="499"/>
      <c r="R71" s="499"/>
      <c r="S71" s="499"/>
      <c r="T71" s="499"/>
      <c r="U71" s="499"/>
      <c r="V71" s="499"/>
      <c r="W71" s="499"/>
      <c r="X71" s="499"/>
      <c r="Y71" s="499"/>
      <c r="Z71" s="499"/>
      <c r="AA71" s="499"/>
      <c r="AB71" s="499"/>
      <c r="AC71" s="499"/>
      <c r="AD71" s="499"/>
      <c r="AE71" s="500"/>
      <c r="AF71" s="92"/>
      <c r="AG71" s="83"/>
      <c r="AH71" s="467"/>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9"/>
      <c r="BL71" s="84"/>
      <c r="BM71" s="85"/>
      <c r="BN71" s="510"/>
      <c r="BO71" s="511"/>
      <c r="BP71" s="511"/>
      <c r="BQ71" s="511"/>
      <c r="BR71" s="511"/>
      <c r="BS71" s="511"/>
      <c r="BT71" s="511"/>
      <c r="BU71" s="511"/>
      <c r="BV71" s="511"/>
      <c r="BW71" s="511"/>
      <c r="BX71" s="511"/>
      <c r="BY71" s="511"/>
      <c r="BZ71" s="511"/>
      <c r="CA71" s="511"/>
      <c r="CB71" s="511"/>
      <c r="CC71" s="511"/>
      <c r="CD71" s="511"/>
      <c r="CE71" s="511"/>
      <c r="CF71" s="511"/>
      <c r="CG71" s="511"/>
      <c r="CH71" s="511"/>
      <c r="CI71" s="511"/>
      <c r="CJ71" s="511"/>
      <c r="CK71" s="511"/>
      <c r="CL71" s="511"/>
      <c r="CM71" s="511"/>
      <c r="CN71" s="511"/>
      <c r="CO71" s="511"/>
      <c r="CP71" s="511"/>
      <c r="CQ71" s="512"/>
      <c r="CR71" s="86"/>
      <c r="CS71" s="85"/>
      <c r="CT71" s="498"/>
      <c r="CU71" s="499"/>
      <c r="CV71" s="499"/>
      <c r="CW71" s="499"/>
      <c r="CX71" s="499"/>
      <c r="CY71" s="499"/>
      <c r="CZ71" s="499"/>
      <c r="DA71" s="499"/>
      <c r="DB71" s="499"/>
      <c r="DC71" s="499"/>
      <c r="DD71" s="499"/>
      <c r="DE71" s="499"/>
      <c r="DF71" s="499"/>
      <c r="DG71" s="499"/>
      <c r="DH71" s="499"/>
      <c r="DI71" s="499"/>
      <c r="DJ71" s="499"/>
      <c r="DK71" s="499"/>
      <c r="DL71" s="499"/>
      <c r="DM71" s="499"/>
      <c r="DN71" s="499"/>
      <c r="DO71" s="499"/>
      <c r="DP71" s="499"/>
      <c r="DQ71" s="499"/>
      <c r="DR71" s="499"/>
      <c r="DS71" s="499"/>
      <c r="DT71" s="499"/>
      <c r="DU71" s="499"/>
      <c r="DV71" s="499"/>
      <c r="DW71" s="500"/>
      <c r="DX71" s="86"/>
    </row>
    <row r="72" spans="1:128" ht="12" customHeight="1" thickBot="1" x14ac:dyDescent="0.35">
      <c r="A72" s="93"/>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5"/>
      <c r="AG72" s="96"/>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97"/>
      <c r="BM72" s="8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88"/>
      <c r="CS72" s="8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88"/>
    </row>
    <row r="73" spans="1:128" ht="12" customHeight="1" x14ac:dyDescent="0.3">
      <c r="A73" s="333" t="str">
        <f>HLOOKUP(Language!$B$2,Language!$C$12:$H$656,139)</f>
        <v>Verification document</v>
      </c>
      <c r="B73" s="334"/>
      <c r="C73" s="334"/>
      <c r="D73" s="334"/>
      <c r="E73" s="334"/>
      <c r="F73" s="334"/>
      <c r="G73" s="334"/>
      <c r="H73" s="334"/>
      <c r="I73" s="334"/>
      <c r="J73" s="334"/>
      <c r="K73" s="334"/>
      <c r="L73" s="334"/>
      <c r="M73" s="334"/>
      <c r="N73" s="334"/>
      <c r="O73" s="334"/>
      <c r="P73" s="334"/>
      <c r="Q73" s="334"/>
      <c r="R73" s="334"/>
      <c r="S73" s="334"/>
      <c r="T73" s="334"/>
      <c r="U73" s="334"/>
      <c r="V73" s="334"/>
      <c r="W73" s="334"/>
      <c r="X73" s="334"/>
      <c r="Y73" s="268" t="e" vm="1">
        <v>#VALUE!</v>
      </c>
      <c r="Z73" s="269"/>
      <c r="AA73" s="269"/>
      <c r="AB73" s="269"/>
      <c r="AC73" s="269"/>
      <c r="AD73" s="269"/>
      <c r="AE73" s="269"/>
      <c r="AF73" s="270"/>
      <c r="AG73" s="333" t="str">
        <f>HLOOKUP(Language!$B$2,Language!$C$12:$H$656,139)</f>
        <v>Verification document</v>
      </c>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268" t="e" vm="1">
        <v>#VALUE!</v>
      </c>
      <c r="BF73" s="269"/>
      <c r="BG73" s="269"/>
      <c r="BH73" s="269"/>
      <c r="BI73" s="269"/>
      <c r="BJ73" s="269"/>
      <c r="BK73" s="269"/>
      <c r="BL73" s="270"/>
      <c r="BM73" s="333" t="str">
        <f>HLOOKUP(Language!$B$2,Language!$C$12:$H$656,139)</f>
        <v>Verification document</v>
      </c>
      <c r="BN73" s="334"/>
      <c r="BO73" s="334"/>
      <c r="BP73" s="334"/>
      <c r="BQ73" s="334"/>
      <c r="BR73" s="334"/>
      <c r="BS73" s="334"/>
      <c r="BT73" s="334"/>
      <c r="BU73" s="334"/>
      <c r="BV73" s="334"/>
      <c r="BW73" s="334"/>
      <c r="BX73" s="334"/>
      <c r="BY73" s="334"/>
      <c r="BZ73" s="334"/>
      <c r="CA73" s="334"/>
      <c r="CB73" s="334"/>
      <c r="CC73" s="334"/>
      <c r="CD73" s="334"/>
      <c r="CE73" s="334"/>
      <c r="CF73" s="334"/>
      <c r="CG73" s="334"/>
      <c r="CH73" s="334"/>
      <c r="CI73" s="334"/>
      <c r="CJ73" s="334"/>
      <c r="CK73" s="268" t="e" vm="1">
        <v>#VALUE!</v>
      </c>
      <c r="CL73" s="269"/>
      <c r="CM73" s="269"/>
      <c r="CN73" s="269"/>
      <c r="CO73" s="269"/>
      <c r="CP73" s="269"/>
      <c r="CQ73" s="269"/>
      <c r="CR73" s="270"/>
    </row>
    <row r="74" spans="1:128" ht="12" customHeight="1" x14ac:dyDescent="0.3">
      <c r="A74" s="335"/>
      <c r="B74" s="336"/>
      <c r="C74" s="336"/>
      <c r="D74" s="336"/>
      <c r="E74" s="336"/>
      <c r="F74" s="336"/>
      <c r="G74" s="336"/>
      <c r="H74" s="336"/>
      <c r="I74" s="336"/>
      <c r="J74" s="336"/>
      <c r="K74" s="336"/>
      <c r="L74" s="336"/>
      <c r="M74" s="336"/>
      <c r="N74" s="336"/>
      <c r="O74" s="336"/>
      <c r="P74" s="336"/>
      <c r="Q74" s="336"/>
      <c r="R74" s="336"/>
      <c r="S74" s="336"/>
      <c r="T74" s="336"/>
      <c r="U74" s="336"/>
      <c r="V74" s="336"/>
      <c r="W74" s="336"/>
      <c r="X74" s="336"/>
      <c r="Y74" s="271"/>
      <c r="Z74" s="272"/>
      <c r="AA74" s="272"/>
      <c r="AB74" s="272"/>
      <c r="AC74" s="272"/>
      <c r="AD74" s="272"/>
      <c r="AE74" s="272"/>
      <c r="AF74" s="273"/>
      <c r="AG74" s="335"/>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271"/>
      <c r="BF74" s="272"/>
      <c r="BG74" s="272"/>
      <c r="BH74" s="272"/>
      <c r="BI74" s="272"/>
      <c r="BJ74" s="272"/>
      <c r="BK74" s="272"/>
      <c r="BL74" s="273"/>
      <c r="BM74" s="335"/>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271"/>
      <c r="CL74" s="272"/>
      <c r="CM74" s="272"/>
      <c r="CN74" s="272"/>
      <c r="CO74" s="272"/>
      <c r="CP74" s="272"/>
      <c r="CQ74" s="272"/>
      <c r="CR74" s="273"/>
    </row>
    <row r="75" spans="1:128" ht="31.05" customHeight="1" x14ac:dyDescent="0.3">
      <c r="A75" s="337" t="str">
        <f>HLOOKUP(Language!$B$2,Language!$C$12:$H$656,8)</f>
        <v>Contact Person (Customer):</v>
      </c>
      <c r="B75" s="338"/>
      <c r="C75" s="338"/>
      <c r="D75" s="338"/>
      <c r="E75" s="339"/>
      <c r="F75" s="338" t="str">
        <f>IF('D1-D3'!$G$3="","",'D1-D3'!$G$3)</f>
        <v/>
      </c>
      <c r="G75" s="338"/>
      <c r="H75" s="338"/>
      <c r="I75" s="338"/>
      <c r="J75" s="338"/>
      <c r="K75" s="338"/>
      <c r="L75" s="338"/>
      <c r="M75" s="338"/>
      <c r="N75" s="338"/>
      <c r="O75" s="338"/>
      <c r="P75" s="338"/>
      <c r="Q75" s="338"/>
      <c r="R75" s="338"/>
      <c r="S75" s="349" t="str">
        <f>HLOOKUP(Language!$B$2,Language!$C$12:$H$656,5)</f>
        <v>8D started on:</v>
      </c>
      <c r="T75" s="338"/>
      <c r="U75" s="338"/>
      <c r="V75" s="477" t="str">
        <f>IF('D1-D3'!$W$3="","",'D1-D3'!$W$3)</f>
        <v/>
      </c>
      <c r="W75" s="411"/>
      <c r="X75" s="412"/>
      <c r="Y75" s="271"/>
      <c r="Z75" s="272"/>
      <c r="AA75" s="272"/>
      <c r="AB75" s="272"/>
      <c r="AC75" s="272"/>
      <c r="AD75" s="272"/>
      <c r="AE75" s="272"/>
      <c r="AF75" s="273"/>
      <c r="AG75" s="337" t="str">
        <f>HLOOKUP(Language!$B$2,Language!$C$12:$H$656,8)</f>
        <v>Contact Person (Customer):</v>
      </c>
      <c r="AH75" s="338"/>
      <c r="AI75" s="338"/>
      <c r="AJ75" s="338"/>
      <c r="AK75" s="339"/>
      <c r="AL75" s="338" t="str">
        <f>IF('D1-D3'!$G$3="","",'D1-D3'!$G$3)</f>
        <v/>
      </c>
      <c r="AM75" s="338"/>
      <c r="AN75" s="338"/>
      <c r="AO75" s="338"/>
      <c r="AP75" s="338"/>
      <c r="AQ75" s="338"/>
      <c r="AR75" s="338"/>
      <c r="AS75" s="338"/>
      <c r="AT75" s="338"/>
      <c r="AU75" s="338"/>
      <c r="AV75" s="338"/>
      <c r="AW75" s="338"/>
      <c r="AX75" s="338"/>
      <c r="AY75" s="349" t="str">
        <f>HLOOKUP(Language!$B$2,Language!$C$12:$H$656,5)</f>
        <v>8D started on:</v>
      </c>
      <c r="AZ75" s="338"/>
      <c r="BA75" s="338"/>
      <c r="BB75" s="477" t="str">
        <f>IF('D1-D3'!$W$3="","",'D1-D3'!$W$3)</f>
        <v/>
      </c>
      <c r="BC75" s="411"/>
      <c r="BD75" s="412"/>
      <c r="BE75" s="271"/>
      <c r="BF75" s="272"/>
      <c r="BG75" s="272"/>
      <c r="BH75" s="272"/>
      <c r="BI75" s="272"/>
      <c r="BJ75" s="272"/>
      <c r="BK75" s="272"/>
      <c r="BL75" s="273"/>
      <c r="BM75" s="337" t="str">
        <f>HLOOKUP(Language!$B$2,Language!$C$12:$H$656,8)</f>
        <v>Contact Person (Customer):</v>
      </c>
      <c r="BN75" s="338"/>
      <c r="BO75" s="338"/>
      <c r="BP75" s="338"/>
      <c r="BQ75" s="339"/>
      <c r="BR75" s="338" t="str">
        <f>IF('D1-D3'!$G$3="","",'D1-D3'!$G$3)</f>
        <v/>
      </c>
      <c r="BS75" s="338"/>
      <c r="BT75" s="338"/>
      <c r="BU75" s="338"/>
      <c r="BV75" s="338"/>
      <c r="BW75" s="338"/>
      <c r="BX75" s="338"/>
      <c r="BY75" s="338"/>
      <c r="BZ75" s="338"/>
      <c r="CA75" s="338"/>
      <c r="CB75" s="338"/>
      <c r="CC75" s="338"/>
      <c r="CD75" s="338"/>
      <c r="CE75" s="349" t="str">
        <f>HLOOKUP(Language!$B$2,Language!$C$12:$H$656,5)</f>
        <v>8D started on:</v>
      </c>
      <c r="CF75" s="338"/>
      <c r="CG75" s="338"/>
      <c r="CH75" s="477" t="str">
        <f>IF('D1-D3'!$W$3="","",'D1-D3'!$W$3)</f>
        <v/>
      </c>
      <c r="CI75" s="411"/>
      <c r="CJ75" s="412"/>
      <c r="CK75" s="271"/>
      <c r="CL75" s="272"/>
      <c r="CM75" s="272"/>
      <c r="CN75" s="272"/>
      <c r="CO75" s="272"/>
      <c r="CP75" s="272"/>
      <c r="CQ75" s="272"/>
      <c r="CR75" s="273"/>
    </row>
    <row r="76" spans="1:128" ht="12" customHeight="1" x14ac:dyDescent="0.3">
      <c r="A76" s="340" t="str">
        <f>HLOOKUP(Language!$B$2,Language!$C$12:$H$656,7)</f>
        <v>Customer:</v>
      </c>
      <c r="B76" s="311"/>
      <c r="C76" s="311"/>
      <c r="D76" s="311"/>
      <c r="E76" s="312"/>
      <c r="F76" s="395" t="str">
        <f>IF('D1-D3'!$G$4="","",'D1-D3'!$G$4)</f>
        <v/>
      </c>
      <c r="G76" s="396"/>
      <c r="H76" s="396"/>
      <c r="I76" s="396"/>
      <c r="J76" s="396"/>
      <c r="K76" s="397"/>
      <c r="L76" s="310" t="str">
        <f>HLOOKUP(Language!$B$2,Language!$C$12:$H$656,15)</f>
        <v>Supplier:</v>
      </c>
      <c r="M76" s="311"/>
      <c r="N76" s="311"/>
      <c r="O76" s="311"/>
      <c r="P76" s="311"/>
      <c r="Q76" s="311"/>
      <c r="R76" s="312"/>
      <c r="S76" s="395" t="str">
        <f>IF('D1-D3'!$T$4="","",'D1-D3'!$T$4)</f>
        <v/>
      </c>
      <c r="T76" s="396"/>
      <c r="U76" s="396"/>
      <c r="V76" s="396"/>
      <c r="W76" s="396"/>
      <c r="X76" s="415"/>
      <c r="Y76" s="250"/>
      <c r="Z76" s="274" t="str">
        <f>HLOOKUP(Language!$B$2,Language!$C$12:$H$656,6)</f>
        <v>ELS:840 01 04
EOT:4 1021 03-02T
PEL:100 02 03</v>
      </c>
      <c r="AA76" s="274"/>
      <c r="AB76" s="274"/>
      <c r="AC76" s="274"/>
      <c r="AD76" s="276" t="str">
        <f>'D1-D3'!AE4</f>
        <v>Rev.07</v>
      </c>
      <c r="AE76" s="276"/>
      <c r="AF76" s="251"/>
      <c r="AG76" s="340" t="str">
        <f>HLOOKUP(Language!$B$2,Language!$C$12:$H$656,7)</f>
        <v>Customer:</v>
      </c>
      <c r="AH76" s="311"/>
      <c r="AI76" s="311"/>
      <c r="AJ76" s="311"/>
      <c r="AK76" s="312"/>
      <c r="AL76" s="395" t="str">
        <f>IF('D1-D3'!$G$4="","",'D1-D3'!$G$4)</f>
        <v/>
      </c>
      <c r="AM76" s="396"/>
      <c r="AN76" s="396"/>
      <c r="AO76" s="396"/>
      <c r="AP76" s="396"/>
      <c r="AQ76" s="397"/>
      <c r="AR76" s="310" t="str">
        <f>HLOOKUP(Language!$B$2,Language!$C$12:$H$656,15)</f>
        <v>Supplier:</v>
      </c>
      <c r="AS76" s="311"/>
      <c r="AT76" s="311"/>
      <c r="AU76" s="311"/>
      <c r="AV76" s="311"/>
      <c r="AW76" s="311"/>
      <c r="AX76" s="312"/>
      <c r="AY76" s="395" t="str">
        <f>IF('D1-D3'!$T$4="","",'D1-D3'!$T$4)</f>
        <v/>
      </c>
      <c r="AZ76" s="396"/>
      <c r="BA76" s="396"/>
      <c r="BB76" s="396"/>
      <c r="BC76" s="396"/>
      <c r="BD76" s="415"/>
      <c r="BE76" s="250"/>
      <c r="BF76" s="274" t="str">
        <f>HLOOKUP(Language!$B$2,Language!$C$12:$H$656,6)</f>
        <v>ELS:840 01 04
EOT:4 1021 03-02T
PEL:100 02 03</v>
      </c>
      <c r="BG76" s="274"/>
      <c r="BH76" s="274"/>
      <c r="BI76" s="274"/>
      <c r="BJ76" s="276" t="str">
        <f>'D1-D3'!AE4</f>
        <v>Rev.07</v>
      </c>
      <c r="BK76" s="276"/>
      <c r="BL76" s="251"/>
      <c r="BM76" s="340" t="str">
        <f>HLOOKUP(Language!$B$2,Language!$C$12:$H$656,7)</f>
        <v>Customer:</v>
      </c>
      <c r="BN76" s="311"/>
      <c r="BO76" s="311"/>
      <c r="BP76" s="311"/>
      <c r="BQ76" s="312"/>
      <c r="BR76" s="395" t="str">
        <f>IF('D1-D3'!$G$4="","",'D1-D3'!$G$4)</f>
        <v/>
      </c>
      <c r="BS76" s="396"/>
      <c r="BT76" s="396"/>
      <c r="BU76" s="396"/>
      <c r="BV76" s="396"/>
      <c r="BW76" s="397"/>
      <c r="BX76" s="310" t="str">
        <f>HLOOKUP(Language!$B$2,Language!$C$12:$H$656,15)</f>
        <v>Supplier:</v>
      </c>
      <c r="BY76" s="311"/>
      <c r="BZ76" s="311"/>
      <c r="CA76" s="311"/>
      <c r="CB76" s="311"/>
      <c r="CC76" s="311"/>
      <c r="CD76" s="312"/>
      <c r="CE76" s="395" t="str">
        <f>IF('D1-D3'!$T$4="","",'D1-D3'!$T$4)</f>
        <v/>
      </c>
      <c r="CF76" s="396"/>
      <c r="CG76" s="396"/>
      <c r="CH76" s="396"/>
      <c r="CI76" s="396"/>
      <c r="CJ76" s="415"/>
      <c r="CK76" s="250"/>
      <c r="CL76" s="274" t="str">
        <f>HLOOKUP(Language!$B$2,Language!$C$12:$H$656,6)</f>
        <v>ELS:840 01 04
EOT:4 1021 03-02T
PEL:100 02 03</v>
      </c>
      <c r="CM76" s="274"/>
      <c r="CN76" s="274"/>
      <c r="CO76" s="274"/>
      <c r="CP76" s="276" t="str">
        <f>'D1-D3'!AE4</f>
        <v>Rev.07</v>
      </c>
      <c r="CQ76" s="276"/>
      <c r="CR76" s="251"/>
    </row>
    <row r="77" spans="1:128" ht="21" customHeight="1" thickBot="1" x14ac:dyDescent="0.35">
      <c r="A77" s="341" t="str">
        <f>HLOOKUP(Language!$B$2,Language!$C$12:$H$656,9)</f>
        <v>Complaint number (Customer):</v>
      </c>
      <c r="B77" s="342"/>
      <c r="C77" s="342"/>
      <c r="D77" s="342"/>
      <c r="E77" s="343"/>
      <c r="F77" s="405" t="str">
        <f>IF('D1-D3'!$G$5="","",'D1-D3'!$G$5)</f>
        <v/>
      </c>
      <c r="G77" s="406"/>
      <c r="H77" s="406"/>
      <c r="I77" s="406"/>
      <c r="J77" s="406"/>
      <c r="K77" s="416"/>
      <c r="L77" s="485" t="str">
        <f>HLOOKUP(Language!$B$2,Language!$C$12:$H$656,14)</f>
        <v>Complaint number (Supplier):</v>
      </c>
      <c r="M77" s="486"/>
      <c r="N77" s="486"/>
      <c r="O77" s="486"/>
      <c r="P77" s="486"/>
      <c r="Q77" s="486"/>
      <c r="R77" s="487"/>
      <c r="S77" s="405" t="str">
        <f>IF('D1-D3'!$T$5="","",'D1-D3'!$T$5)</f>
        <v/>
      </c>
      <c r="T77" s="406"/>
      <c r="U77" s="406"/>
      <c r="V77" s="406"/>
      <c r="W77" s="406"/>
      <c r="X77" s="407"/>
      <c r="Y77" s="249"/>
      <c r="Z77" s="275"/>
      <c r="AA77" s="275"/>
      <c r="AB77" s="275"/>
      <c r="AC77" s="275"/>
      <c r="AD77" s="277"/>
      <c r="AE77" s="277"/>
      <c r="AF77" s="97"/>
      <c r="AG77" s="341" t="str">
        <f>HLOOKUP(Language!$B$2,Language!$C$12:$H$656,9)</f>
        <v>Complaint number (Customer):</v>
      </c>
      <c r="AH77" s="342"/>
      <c r="AI77" s="342"/>
      <c r="AJ77" s="342"/>
      <c r="AK77" s="343"/>
      <c r="AL77" s="405" t="str">
        <f>IF('D1-D3'!$G$5="","",'D1-D3'!$G$5)</f>
        <v/>
      </c>
      <c r="AM77" s="406"/>
      <c r="AN77" s="406"/>
      <c r="AO77" s="406"/>
      <c r="AP77" s="406"/>
      <c r="AQ77" s="416"/>
      <c r="AR77" s="485" t="str">
        <f>HLOOKUP(Language!$B$2,Language!$C$12:$H$656,14)</f>
        <v>Complaint number (Supplier):</v>
      </c>
      <c r="AS77" s="486"/>
      <c r="AT77" s="486"/>
      <c r="AU77" s="486"/>
      <c r="AV77" s="486"/>
      <c r="AW77" s="486"/>
      <c r="AX77" s="487"/>
      <c r="AY77" s="405" t="str">
        <f>IF('D1-D3'!$T$5="","",'D1-D3'!$T$5)</f>
        <v/>
      </c>
      <c r="AZ77" s="406"/>
      <c r="BA77" s="406"/>
      <c r="BB77" s="406"/>
      <c r="BC77" s="406"/>
      <c r="BD77" s="407"/>
      <c r="BE77" s="249"/>
      <c r="BF77" s="275"/>
      <c r="BG77" s="275"/>
      <c r="BH77" s="275"/>
      <c r="BI77" s="275"/>
      <c r="BJ77" s="277"/>
      <c r="BK77" s="277"/>
      <c r="BL77" s="97"/>
      <c r="BM77" s="341" t="str">
        <f>HLOOKUP(Language!$B$2,Language!$C$12:$H$656,9)</f>
        <v>Complaint number (Customer):</v>
      </c>
      <c r="BN77" s="342"/>
      <c r="BO77" s="342"/>
      <c r="BP77" s="342"/>
      <c r="BQ77" s="343"/>
      <c r="BR77" s="405" t="str">
        <f>IF('D1-D3'!$G$5="","",'D1-D3'!$G$5)</f>
        <v/>
      </c>
      <c r="BS77" s="406"/>
      <c r="BT77" s="406"/>
      <c r="BU77" s="406"/>
      <c r="BV77" s="406"/>
      <c r="BW77" s="416"/>
      <c r="BX77" s="485" t="str">
        <f>HLOOKUP(Language!$B$2,Language!$C$12:$H$656,14)</f>
        <v>Complaint number (Supplier):</v>
      </c>
      <c r="BY77" s="486"/>
      <c r="BZ77" s="486"/>
      <c r="CA77" s="486"/>
      <c r="CB77" s="486"/>
      <c r="CC77" s="486"/>
      <c r="CD77" s="487"/>
      <c r="CE77" s="405" t="str">
        <f>IF('D1-D3'!$T$5="","",'D1-D3'!$T$5)</f>
        <v/>
      </c>
      <c r="CF77" s="406"/>
      <c r="CG77" s="406"/>
      <c r="CH77" s="406"/>
      <c r="CI77" s="406"/>
      <c r="CJ77" s="407"/>
      <c r="CK77" s="249"/>
      <c r="CL77" s="275"/>
      <c r="CM77" s="275"/>
      <c r="CN77" s="275"/>
      <c r="CO77" s="275"/>
      <c r="CP77" s="277"/>
      <c r="CQ77" s="277"/>
      <c r="CR77" s="97"/>
    </row>
    <row r="78" spans="1:128" ht="12" customHeight="1" x14ac:dyDescent="0.3">
      <c r="A78" s="4"/>
      <c r="B78" s="21"/>
      <c r="C78" s="21"/>
      <c r="D78" s="21"/>
      <c r="E78" s="21"/>
      <c r="F78" s="33"/>
      <c r="G78" s="33"/>
      <c r="H78" s="33"/>
      <c r="I78" s="33"/>
      <c r="J78" s="33"/>
      <c r="K78" s="33"/>
      <c r="L78" s="6"/>
      <c r="M78" s="6"/>
      <c r="N78" s="6"/>
      <c r="O78" s="6"/>
      <c r="P78" s="6"/>
      <c r="Q78" s="6"/>
      <c r="R78" s="33"/>
      <c r="S78" s="21"/>
      <c r="T78" s="21"/>
      <c r="U78" s="21"/>
      <c r="V78" s="21"/>
      <c r="W78" s="21"/>
      <c r="X78" s="21"/>
      <c r="Y78" s="25"/>
      <c r="Z78" s="25"/>
      <c r="AA78" s="25"/>
      <c r="AB78" s="25"/>
      <c r="AC78" s="25"/>
      <c r="AD78" s="25"/>
      <c r="AE78" s="25"/>
      <c r="AF78" s="26"/>
      <c r="AG78" s="4"/>
      <c r="AH78" s="21"/>
      <c r="AI78" s="21"/>
      <c r="AJ78" s="21"/>
      <c r="AK78" s="21"/>
      <c r="AL78" s="33"/>
      <c r="AM78" s="33"/>
      <c r="AN78" s="33"/>
      <c r="AO78" s="33"/>
      <c r="AP78" s="33"/>
      <c r="AQ78" s="33"/>
      <c r="AR78" s="6"/>
      <c r="AS78" s="6"/>
      <c r="AT78" s="6"/>
      <c r="AU78" s="6"/>
      <c r="AV78" s="6"/>
      <c r="AW78" s="6"/>
      <c r="AX78" s="33"/>
      <c r="AY78" s="21"/>
      <c r="AZ78" s="21"/>
      <c r="BA78" s="21"/>
      <c r="BB78" s="21"/>
      <c r="BC78" s="21"/>
      <c r="BD78" s="21"/>
      <c r="BE78" s="25"/>
      <c r="BF78" s="25"/>
      <c r="BG78" s="25"/>
      <c r="BH78" s="25"/>
      <c r="BI78" s="25"/>
      <c r="BJ78" s="25"/>
      <c r="BK78" s="25"/>
      <c r="BL78" s="26"/>
      <c r="BM78" s="4"/>
      <c r="BN78" s="21"/>
      <c r="BO78" s="21"/>
      <c r="BP78" s="21"/>
      <c r="BQ78" s="21"/>
      <c r="BR78" s="33"/>
      <c r="BS78" s="33"/>
      <c r="BT78" s="33"/>
      <c r="BU78" s="33"/>
      <c r="BV78" s="33"/>
      <c r="BW78" s="33"/>
      <c r="BX78" s="6"/>
      <c r="BY78" s="6"/>
      <c r="BZ78" s="6"/>
      <c r="CA78" s="6"/>
      <c r="CB78" s="6"/>
      <c r="CC78" s="6"/>
      <c r="CD78" s="33"/>
      <c r="CE78" s="21"/>
      <c r="CF78" s="21"/>
      <c r="CG78" s="21"/>
      <c r="CH78" s="21"/>
      <c r="CI78" s="21"/>
      <c r="CJ78" s="21"/>
      <c r="CK78" s="25"/>
      <c r="CL78" s="25"/>
      <c r="CM78" s="25"/>
      <c r="CN78" s="25"/>
      <c r="CO78" s="25"/>
      <c r="CP78" s="25"/>
      <c r="CQ78" s="25"/>
      <c r="CR78" s="26"/>
    </row>
    <row r="79" spans="1:128" s="127" customFormat="1" ht="12" customHeight="1" x14ac:dyDescent="0.3">
      <c r="A79" s="4"/>
      <c r="B79" s="305" t="str">
        <f>HLOOKUP(Language!$B$2,Language!$C$12:$H$656,10)</f>
        <v>Material name:</v>
      </c>
      <c r="C79" s="305"/>
      <c r="D79" s="305"/>
      <c r="E79" s="305"/>
      <c r="F79" s="305"/>
      <c r="G79" s="404" t="str">
        <f>IF('D1-D3'!$H$7="","",'D1-D3'!$H$7)</f>
        <v/>
      </c>
      <c r="H79" s="404"/>
      <c r="I79" s="404"/>
      <c r="J79" s="404"/>
      <c r="K79" s="404"/>
      <c r="L79" s="404"/>
      <c r="M79" s="404"/>
      <c r="N79" s="404"/>
      <c r="O79" s="404"/>
      <c r="P79" s="404"/>
      <c r="Q79" s="305" t="str">
        <f>HLOOKUP(Language!$B$2,Language!$C$12:$H$656,12)</f>
        <v>Drawing no.</v>
      </c>
      <c r="R79" s="305"/>
      <c r="S79" s="305"/>
      <c r="T79" s="305"/>
      <c r="U79" s="305"/>
      <c r="V79" s="404" t="str">
        <f>IF('D1-D3'!$W$7="","",'D1-D3'!$W$7)</f>
        <v/>
      </c>
      <c r="W79" s="404"/>
      <c r="X79" s="404"/>
      <c r="Y79" s="404"/>
      <c r="Z79" s="404"/>
      <c r="AA79" s="404"/>
      <c r="AB79" s="404"/>
      <c r="AC79" s="404"/>
      <c r="AD79" s="404"/>
      <c r="AE79" s="404"/>
      <c r="AF79" s="5"/>
      <c r="AG79" s="4"/>
      <c r="AH79" s="305" t="str">
        <f>HLOOKUP(Language!$B$2,Language!$C$12:$H$656,10)</f>
        <v>Material name:</v>
      </c>
      <c r="AI79" s="305"/>
      <c r="AJ79" s="305"/>
      <c r="AK79" s="305"/>
      <c r="AL79" s="305"/>
      <c r="AM79" s="404" t="str">
        <f>IF('D1-D3'!$H$7="","",'D1-D3'!$H$7)</f>
        <v/>
      </c>
      <c r="AN79" s="404"/>
      <c r="AO79" s="404"/>
      <c r="AP79" s="404"/>
      <c r="AQ79" s="404"/>
      <c r="AR79" s="404"/>
      <c r="AS79" s="404"/>
      <c r="AT79" s="404"/>
      <c r="AU79" s="404"/>
      <c r="AV79" s="404"/>
      <c r="AW79" s="305" t="str">
        <f>HLOOKUP(Language!$B$2,Language!$C$12:$H$656,12)</f>
        <v>Drawing no.</v>
      </c>
      <c r="AX79" s="305"/>
      <c r="AY79" s="305"/>
      <c r="AZ79" s="305"/>
      <c r="BA79" s="305"/>
      <c r="BB79" s="404" t="str">
        <f>IF('D1-D3'!$W$7="","",'D1-D3'!$W$7)</f>
        <v/>
      </c>
      <c r="BC79" s="404"/>
      <c r="BD79" s="404"/>
      <c r="BE79" s="404"/>
      <c r="BF79" s="404"/>
      <c r="BG79" s="404"/>
      <c r="BH79" s="404"/>
      <c r="BI79" s="404"/>
      <c r="BJ79" s="404"/>
      <c r="BK79" s="404"/>
      <c r="BL79" s="5"/>
      <c r="BM79" s="4"/>
      <c r="BN79" s="305" t="str">
        <f>HLOOKUP(Language!$B$2,Language!$C$12:$H$656,10)</f>
        <v>Material name:</v>
      </c>
      <c r="BO79" s="305"/>
      <c r="BP79" s="305"/>
      <c r="BQ79" s="305"/>
      <c r="BR79" s="305"/>
      <c r="BS79" s="404" t="str">
        <f>IF('D1-D3'!$H$7="","",'D1-D3'!$H$7)</f>
        <v/>
      </c>
      <c r="BT79" s="404"/>
      <c r="BU79" s="404"/>
      <c r="BV79" s="404"/>
      <c r="BW79" s="404"/>
      <c r="BX79" s="404"/>
      <c r="BY79" s="404"/>
      <c r="BZ79" s="404"/>
      <c r="CA79" s="404"/>
      <c r="CB79" s="404"/>
      <c r="CC79" s="305" t="str">
        <f>HLOOKUP(Language!$B$2,Language!$C$12:$H$656,12)</f>
        <v>Drawing no.</v>
      </c>
      <c r="CD79" s="305"/>
      <c r="CE79" s="305"/>
      <c r="CF79" s="305"/>
      <c r="CG79" s="305"/>
      <c r="CH79" s="404" t="str">
        <f>IF('D1-D3'!$W$7="","",'D1-D3'!$W$7)</f>
        <v/>
      </c>
      <c r="CI79" s="404"/>
      <c r="CJ79" s="404"/>
      <c r="CK79" s="404"/>
      <c r="CL79" s="404"/>
      <c r="CM79" s="404"/>
      <c r="CN79" s="404"/>
      <c r="CO79" s="404"/>
      <c r="CP79" s="404"/>
      <c r="CQ79" s="404"/>
      <c r="CR79" s="5"/>
    </row>
    <row r="80" spans="1:128" s="127" customFormat="1" ht="12" customHeight="1" x14ac:dyDescent="0.3">
      <c r="A80" s="4"/>
      <c r="B80" s="305" t="str">
        <f>HLOOKUP(Language!$B$2,Language!$C$12:$H$656,11)</f>
        <v>Material number:</v>
      </c>
      <c r="C80" s="305"/>
      <c r="D80" s="305"/>
      <c r="E80" s="305"/>
      <c r="F80" s="305"/>
      <c r="G80" s="404" t="str">
        <f>IF('D1-D3'!$H$8="","",'D1-D3'!$H$8)</f>
        <v/>
      </c>
      <c r="H80" s="404"/>
      <c r="I80" s="404"/>
      <c r="J80" s="404"/>
      <c r="K80" s="404"/>
      <c r="L80" s="404"/>
      <c r="M80" s="404"/>
      <c r="N80" s="404"/>
      <c r="O80" s="404"/>
      <c r="P80" s="404"/>
      <c r="Q80" s="305" t="str">
        <f>HLOOKUP(Language!$B$2,Language!$C$12:$H$656,13)</f>
        <v>Drawing revision</v>
      </c>
      <c r="R80" s="305"/>
      <c r="S80" s="305"/>
      <c r="T80" s="305"/>
      <c r="U80" s="305"/>
      <c r="V80" s="404" t="str">
        <f>IF('D1-D3'!$W$8="","",'D1-D3'!$W$8)</f>
        <v/>
      </c>
      <c r="W80" s="404"/>
      <c r="X80" s="404"/>
      <c r="Y80" s="404"/>
      <c r="Z80" s="404"/>
      <c r="AA80" s="404"/>
      <c r="AB80" s="404"/>
      <c r="AC80" s="404"/>
      <c r="AD80" s="404"/>
      <c r="AE80" s="404"/>
      <c r="AF80" s="5"/>
      <c r="AG80" s="4"/>
      <c r="AH80" s="305" t="str">
        <f>HLOOKUP(Language!$B$2,Language!$C$12:$H$656,11)</f>
        <v>Material number:</v>
      </c>
      <c r="AI80" s="305"/>
      <c r="AJ80" s="305"/>
      <c r="AK80" s="305"/>
      <c r="AL80" s="305"/>
      <c r="AM80" s="404" t="str">
        <f>IF('D1-D3'!$H$8="","",'D1-D3'!$H$8)</f>
        <v/>
      </c>
      <c r="AN80" s="404"/>
      <c r="AO80" s="404"/>
      <c r="AP80" s="404"/>
      <c r="AQ80" s="404"/>
      <c r="AR80" s="404"/>
      <c r="AS80" s="404"/>
      <c r="AT80" s="404"/>
      <c r="AU80" s="404"/>
      <c r="AV80" s="404"/>
      <c r="AW80" s="305" t="str">
        <f>HLOOKUP(Language!$B$2,Language!$C$12:$H$656,13)</f>
        <v>Drawing revision</v>
      </c>
      <c r="AX80" s="305"/>
      <c r="AY80" s="305"/>
      <c r="AZ80" s="305"/>
      <c r="BA80" s="305"/>
      <c r="BB80" s="404" t="str">
        <f>IF('D1-D3'!$W$8="","",'D1-D3'!$W$8)</f>
        <v/>
      </c>
      <c r="BC80" s="404"/>
      <c r="BD80" s="404"/>
      <c r="BE80" s="404"/>
      <c r="BF80" s="404"/>
      <c r="BG80" s="404"/>
      <c r="BH80" s="404"/>
      <c r="BI80" s="404"/>
      <c r="BJ80" s="404"/>
      <c r="BK80" s="404"/>
      <c r="BL80" s="5"/>
      <c r="BM80" s="4"/>
      <c r="BN80" s="305" t="str">
        <f>HLOOKUP(Language!$B$2,Language!$C$12:$H$656,11)</f>
        <v>Material number:</v>
      </c>
      <c r="BO80" s="305"/>
      <c r="BP80" s="305"/>
      <c r="BQ80" s="305"/>
      <c r="BR80" s="305"/>
      <c r="BS80" s="404" t="str">
        <f>IF('D1-D3'!$H$8="","",'D1-D3'!$H$8)</f>
        <v/>
      </c>
      <c r="BT80" s="404"/>
      <c r="BU80" s="404"/>
      <c r="BV80" s="404"/>
      <c r="BW80" s="404"/>
      <c r="BX80" s="404"/>
      <c r="BY80" s="404"/>
      <c r="BZ80" s="404"/>
      <c r="CA80" s="404"/>
      <c r="CB80" s="404"/>
      <c r="CC80" s="305" t="str">
        <f>HLOOKUP(Language!$B$2,Language!$C$12:$H$656,13)</f>
        <v>Drawing revision</v>
      </c>
      <c r="CD80" s="305"/>
      <c r="CE80" s="305"/>
      <c r="CF80" s="305"/>
      <c r="CG80" s="305"/>
      <c r="CH80" s="404" t="str">
        <f>IF('D1-D3'!$W$8="","",'D1-D3'!$W$8)</f>
        <v/>
      </c>
      <c r="CI80" s="404"/>
      <c r="CJ80" s="404"/>
      <c r="CK80" s="404"/>
      <c r="CL80" s="404"/>
      <c r="CM80" s="404"/>
      <c r="CN80" s="404"/>
      <c r="CO80" s="404"/>
      <c r="CP80" s="404"/>
      <c r="CQ80" s="404"/>
      <c r="CR80" s="5"/>
    </row>
    <row r="81" spans="1:96" ht="12" customHeight="1" thickBot="1" x14ac:dyDescent="0.35">
      <c r="A81" s="18"/>
      <c r="B81" s="19"/>
      <c r="C81" s="19"/>
      <c r="D81" s="19"/>
      <c r="E81" s="19"/>
      <c r="F81" s="19"/>
      <c r="G81" s="19"/>
      <c r="H81" s="19"/>
      <c r="I81" s="19"/>
      <c r="J81" s="19"/>
      <c r="K81" s="19"/>
      <c r="L81" s="19"/>
      <c r="M81" s="19"/>
      <c r="N81" s="19"/>
      <c r="O81" s="19"/>
      <c r="P81" s="19"/>
      <c r="Q81" s="19"/>
      <c r="R81" s="19"/>
      <c r="S81" s="19"/>
      <c r="T81" s="19"/>
      <c r="U81" s="19"/>
      <c r="V81" s="19"/>
      <c r="W81" s="19"/>
      <c r="X81" s="19"/>
      <c r="Y81" s="27"/>
      <c r="Z81" s="28"/>
      <c r="AA81" s="28"/>
      <c r="AB81" s="28"/>
      <c r="AC81" s="28"/>
      <c r="AD81" s="28"/>
      <c r="AE81" s="28"/>
      <c r="AF81" s="29"/>
      <c r="AG81" s="18"/>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27"/>
      <c r="BF81" s="28"/>
      <c r="BG81" s="28"/>
      <c r="BH81" s="28"/>
      <c r="BI81" s="28"/>
      <c r="BJ81" s="28"/>
      <c r="BK81" s="28"/>
      <c r="BL81" s="29"/>
      <c r="BM81" s="18"/>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27"/>
      <c r="CL81" s="28"/>
      <c r="CM81" s="28"/>
      <c r="CN81" s="28"/>
      <c r="CO81" s="28"/>
      <c r="CP81" s="28"/>
      <c r="CQ81" s="28"/>
      <c r="CR81" s="29"/>
    </row>
    <row r="82" spans="1:96" ht="15" customHeight="1" thickBot="1" x14ac:dyDescent="0.35">
      <c r="A82" s="480" t="str">
        <f>HLOOKUP(Language!$B$2,Language!$C$12:$H$656,142)</f>
        <v>Document name:</v>
      </c>
      <c r="B82" s="481"/>
      <c r="C82" s="481"/>
      <c r="D82" s="481"/>
      <c r="E82" s="481"/>
      <c r="F82" s="481"/>
      <c r="G82" s="481"/>
      <c r="H82" s="491"/>
      <c r="I82" s="491"/>
      <c r="J82" s="491"/>
      <c r="K82" s="491"/>
      <c r="L82" s="491"/>
      <c r="M82" s="491"/>
      <c r="N82" s="491"/>
      <c r="O82" s="491"/>
      <c r="P82" s="491"/>
      <c r="Q82" s="491"/>
      <c r="R82" s="491"/>
      <c r="S82" s="491"/>
      <c r="T82" s="491"/>
      <c r="U82" s="491"/>
      <c r="V82" s="491"/>
      <c r="W82" s="491"/>
      <c r="X82" s="491"/>
      <c r="Y82" s="491"/>
      <c r="Z82" s="478"/>
      <c r="AA82" s="478"/>
      <c r="AB82" s="478"/>
      <c r="AC82" s="478"/>
      <c r="AD82" s="478"/>
      <c r="AE82" s="478"/>
      <c r="AF82" s="479"/>
      <c r="AG82" s="480" t="str">
        <f>HLOOKUP(Language!$B$2,Language!$C$12:$H$656,142)</f>
        <v>Document name:</v>
      </c>
      <c r="AH82" s="481"/>
      <c r="AI82" s="481"/>
      <c r="AJ82" s="481"/>
      <c r="AK82" s="481"/>
      <c r="AL82" s="481"/>
      <c r="AM82" s="481"/>
      <c r="AN82" s="491"/>
      <c r="AO82" s="491"/>
      <c r="AP82" s="491"/>
      <c r="AQ82" s="491"/>
      <c r="AR82" s="491"/>
      <c r="AS82" s="491"/>
      <c r="AT82" s="491"/>
      <c r="AU82" s="491"/>
      <c r="AV82" s="491"/>
      <c r="AW82" s="491"/>
      <c r="AX82" s="491"/>
      <c r="AY82" s="491"/>
      <c r="AZ82" s="491"/>
      <c r="BA82" s="491"/>
      <c r="BB82" s="491"/>
      <c r="BC82" s="491"/>
      <c r="BD82" s="491"/>
      <c r="BE82" s="491"/>
      <c r="BF82" s="478"/>
      <c r="BG82" s="478"/>
      <c r="BH82" s="478"/>
      <c r="BI82" s="478"/>
      <c r="BJ82" s="478"/>
      <c r="BK82" s="478"/>
      <c r="BL82" s="479"/>
      <c r="BM82" s="480" t="str">
        <f>HLOOKUP(Language!$B$2,Language!$C$12:$H$656,142)</f>
        <v>Document name:</v>
      </c>
      <c r="BN82" s="481"/>
      <c r="BO82" s="481"/>
      <c r="BP82" s="481"/>
      <c r="BQ82" s="481"/>
      <c r="BR82" s="481"/>
      <c r="BS82" s="481"/>
      <c r="BT82" s="491"/>
      <c r="BU82" s="491"/>
      <c r="BV82" s="491"/>
      <c r="BW82" s="491"/>
      <c r="BX82" s="491"/>
      <c r="BY82" s="491"/>
      <c r="BZ82" s="491"/>
      <c r="CA82" s="491"/>
      <c r="CB82" s="491"/>
      <c r="CC82" s="491"/>
      <c r="CD82" s="491"/>
      <c r="CE82" s="491"/>
      <c r="CF82" s="491"/>
      <c r="CG82" s="491"/>
      <c r="CH82" s="491"/>
      <c r="CI82" s="491"/>
      <c r="CJ82" s="491"/>
      <c r="CK82" s="491"/>
      <c r="CL82" s="478"/>
      <c r="CM82" s="478"/>
      <c r="CN82" s="478"/>
      <c r="CO82" s="478"/>
      <c r="CP82" s="478"/>
      <c r="CQ82" s="478"/>
      <c r="CR82" s="479"/>
    </row>
    <row r="83" spans="1:96" s="155" customFormat="1" ht="12" customHeight="1" x14ac:dyDescent="0.3">
      <c r="A83" s="152"/>
      <c r="B83" s="153"/>
      <c r="C83" s="153"/>
      <c r="D83" s="153"/>
      <c r="E83" s="153"/>
      <c r="F83" s="153"/>
      <c r="G83" s="153"/>
      <c r="H83" s="490"/>
      <c r="I83" s="490"/>
      <c r="J83" s="490"/>
      <c r="K83" s="150"/>
      <c r="L83" s="150" t="e">
        <f>IF('D1-D3'!$AD$6="Deutsch",#REF!,IF('D1-D3'!$AD$6="English",#REF!,IF('D1-D3'!$AD$6="Polski",#REF!)))</f>
        <v>#REF!</v>
      </c>
      <c r="M83" s="153"/>
      <c r="N83" s="153"/>
      <c r="O83" s="153"/>
      <c r="P83" s="153"/>
      <c r="Q83" s="153"/>
      <c r="R83" s="153"/>
      <c r="S83" s="153"/>
      <c r="T83" s="153"/>
      <c r="U83" s="153"/>
      <c r="V83" s="153"/>
      <c r="W83" s="153"/>
      <c r="X83" s="153"/>
      <c r="Y83" s="153"/>
      <c r="Z83" s="153"/>
      <c r="AA83" s="153"/>
      <c r="AB83" s="153"/>
      <c r="AC83" s="153"/>
      <c r="AD83" s="153"/>
      <c r="AE83" s="153"/>
      <c r="AF83" s="154"/>
      <c r="AG83" s="152"/>
      <c r="AH83" s="153"/>
      <c r="AI83" s="153"/>
      <c r="AJ83" s="153"/>
      <c r="AK83" s="153"/>
      <c r="AL83" s="153"/>
      <c r="AM83" s="153"/>
      <c r="AN83" s="490"/>
      <c r="AO83" s="490"/>
      <c r="AP83" s="490"/>
      <c r="AQ83" s="150"/>
      <c r="AR83" s="150" t="e">
        <f>IF('D1-D3'!$AD$6="Deutsch",#REF!,IF('D1-D3'!$AD$6="English",#REF!,IF('D1-D3'!$AD$6="Polski",#REF!)))</f>
        <v>#REF!</v>
      </c>
      <c r="AS83" s="153"/>
      <c r="AT83" s="153"/>
      <c r="AU83" s="153"/>
      <c r="AV83" s="153"/>
      <c r="AW83" s="153"/>
      <c r="AX83" s="153"/>
      <c r="AY83" s="153"/>
      <c r="AZ83" s="153"/>
      <c r="BA83" s="153"/>
      <c r="BB83" s="153"/>
      <c r="BC83" s="153"/>
      <c r="BD83" s="153"/>
      <c r="BE83" s="153"/>
      <c r="BF83" s="153"/>
      <c r="BG83" s="153"/>
      <c r="BH83" s="153"/>
      <c r="BI83" s="153"/>
      <c r="BJ83" s="153"/>
      <c r="BK83" s="153"/>
      <c r="BL83" s="154"/>
      <c r="BM83" s="152"/>
      <c r="BN83" s="153"/>
      <c r="BO83" s="153"/>
      <c r="BP83" s="153"/>
      <c r="BQ83" s="153"/>
      <c r="BR83" s="153"/>
      <c r="BS83" s="153"/>
      <c r="BT83" s="490"/>
      <c r="BU83" s="490"/>
      <c r="BV83" s="490"/>
      <c r="BW83" s="150"/>
      <c r="BX83" s="150" t="e">
        <f>IF('D1-D3'!$AD$6="Deutsch",#REF!,IF('D1-D3'!$AD$6="English",#REF!,IF('D1-D3'!$AD$6="Polski",#REF!)))</f>
        <v>#REF!</v>
      </c>
      <c r="BY83" s="153"/>
      <c r="BZ83" s="153"/>
      <c r="CA83" s="153"/>
      <c r="CB83" s="153"/>
      <c r="CC83" s="153"/>
      <c r="CD83" s="153"/>
      <c r="CE83" s="153"/>
      <c r="CF83" s="153"/>
      <c r="CG83" s="153"/>
      <c r="CH83" s="153"/>
      <c r="CI83" s="153"/>
      <c r="CJ83" s="153"/>
      <c r="CK83" s="153"/>
      <c r="CL83" s="153"/>
      <c r="CM83" s="153"/>
      <c r="CN83" s="153"/>
      <c r="CO83" s="153"/>
      <c r="CP83" s="153"/>
      <c r="CQ83" s="153"/>
      <c r="CR83" s="154"/>
    </row>
    <row r="84" spans="1:96" ht="12" customHeight="1" x14ac:dyDescent="0.3">
      <c r="A84" s="4"/>
      <c r="B84" s="482" t="str">
        <f>HLOOKUP(Language!$B$2,Language!$C$12:$H$656,140)</f>
        <v>Previous:</v>
      </c>
      <c r="C84" s="483"/>
      <c r="D84" s="483"/>
      <c r="E84" s="483"/>
      <c r="F84" s="483"/>
      <c r="G84" s="483"/>
      <c r="H84" s="483"/>
      <c r="I84" s="483"/>
      <c r="J84" s="483"/>
      <c r="K84" s="483"/>
      <c r="L84" s="483"/>
      <c r="M84" s="483"/>
      <c r="N84" s="483"/>
      <c r="O84" s="484"/>
      <c r="P84" s="91"/>
      <c r="Q84" s="91"/>
      <c r="R84" s="482" t="str">
        <f>HLOOKUP(Language!$B$2,Language!$C$12:$H$656,141)</f>
        <v>Afterwards:</v>
      </c>
      <c r="S84" s="483"/>
      <c r="T84" s="483"/>
      <c r="U84" s="483"/>
      <c r="V84" s="483"/>
      <c r="W84" s="483"/>
      <c r="X84" s="483"/>
      <c r="Y84" s="483"/>
      <c r="Z84" s="483"/>
      <c r="AA84" s="483"/>
      <c r="AB84" s="483"/>
      <c r="AC84" s="483"/>
      <c r="AD84" s="483"/>
      <c r="AE84" s="484"/>
      <c r="AF84" s="5"/>
      <c r="AG84" s="4"/>
      <c r="AH84" s="482" t="str">
        <f>HLOOKUP(Language!$B$2,Language!$C$12:$H$656,140)</f>
        <v>Previous:</v>
      </c>
      <c r="AI84" s="483"/>
      <c r="AJ84" s="483"/>
      <c r="AK84" s="483"/>
      <c r="AL84" s="483"/>
      <c r="AM84" s="483"/>
      <c r="AN84" s="483"/>
      <c r="AO84" s="483"/>
      <c r="AP84" s="483"/>
      <c r="AQ84" s="483"/>
      <c r="AR84" s="483"/>
      <c r="AS84" s="483"/>
      <c r="AT84" s="483"/>
      <c r="AU84" s="484"/>
      <c r="AV84" s="91"/>
      <c r="AW84" s="91"/>
      <c r="AX84" s="482" t="str">
        <f>HLOOKUP(Language!$B$2,Language!$C$12:$H$656,141)</f>
        <v>Afterwards:</v>
      </c>
      <c r="AY84" s="483"/>
      <c r="AZ84" s="483"/>
      <c r="BA84" s="483"/>
      <c r="BB84" s="483"/>
      <c r="BC84" s="483"/>
      <c r="BD84" s="483"/>
      <c r="BE84" s="483"/>
      <c r="BF84" s="483"/>
      <c r="BG84" s="483"/>
      <c r="BH84" s="483"/>
      <c r="BI84" s="483"/>
      <c r="BJ84" s="483"/>
      <c r="BK84" s="484"/>
      <c r="BL84" s="5"/>
      <c r="BM84" s="4"/>
      <c r="BN84" s="482" t="str">
        <f>HLOOKUP(Language!$B$2,Language!$C$12:$H$656,140)</f>
        <v>Previous:</v>
      </c>
      <c r="BO84" s="483"/>
      <c r="BP84" s="483"/>
      <c r="BQ84" s="483"/>
      <c r="BR84" s="483"/>
      <c r="BS84" s="483"/>
      <c r="BT84" s="483"/>
      <c r="BU84" s="483"/>
      <c r="BV84" s="483"/>
      <c r="BW84" s="483"/>
      <c r="BX84" s="483"/>
      <c r="BY84" s="483"/>
      <c r="BZ84" s="483"/>
      <c r="CA84" s="484"/>
      <c r="CB84" s="91"/>
      <c r="CC84" s="91"/>
      <c r="CD84" s="482" t="str">
        <f>HLOOKUP(Language!$B$2,Language!$C$12:$H$656,141)</f>
        <v>Afterwards:</v>
      </c>
      <c r="CE84" s="483"/>
      <c r="CF84" s="483"/>
      <c r="CG84" s="483"/>
      <c r="CH84" s="483"/>
      <c r="CI84" s="483"/>
      <c r="CJ84" s="483"/>
      <c r="CK84" s="483"/>
      <c r="CL84" s="483"/>
      <c r="CM84" s="483"/>
      <c r="CN84" s="483"/>
      <c r="CO84" s="483"/>
      <c r="CP84" s="483"/>
      <c r="CQ84" s="484"/>
      <c r="CR84" s="5"/>
    </row>
    <row r="85" spans="1:96" ht="12" customHeight="1" x14ac:dyDescent="0.3">
      <c r="A85" s="4"/>
      <c r="B85" s="373"/>
      <c r="C85" s="374"/>
      <c r="D85" s="374"/>
      <c r="E85" s="374"/>
      <c r="F85" s="374"/>
      <c r="G85" s="374"/>
      <c r="H85" s="374"/>
      <c r="I85" s="374"/>
      <c r="J85" s="374"/>
      <c r="K85" s="374"/>
      <c r="L85" s="374"/>
      <c r="M85" s="374"/>
      <c r="N85" s="374"/>
      <c r="O85" s="375"/>
      <c r="P85" s="91"/>
      <c r="Q85" s="91"/>
      <c r="R85" s="373"/>
      <c r="S85" s="374"/>
      <c r="T85" s="374"/>
      <c r="U85" s="374"/>
      <c r="V85" s="374"/>
      <c r="W85" s="374"/>
      <c r="X85" s="374"/>
      <c r="Y85" s="374"/>
      <c r="Z85" s="374"/>
      <c r="AA85" s="374"/>
      <c r="AB85" s="374"/>
      <c r="AC85" s="374"/>
      <c r="AD85" s="374"/>
      <c r="AE85" s="375"/>
      <c r="AF85" s="5"/>
      <c r="AG85" s="4"/>
      <c r="AH85" s="373"/>
      <c r="AI85" s="374"/>
      <c r="AJ85" s="374"/>
      <c r="AK85" s="374"/>
      <c r="AL85" s="374"/>
      <c r="AM85" s="374"/>
      <c r="AN85" s="374"/>
      <c r="AO85" s="374"/>
      <c r="AP85" s="374"/>
      <c r="AQ85" s="374"/>
      <c r="AR85" s="374"/>
      <c r="AS85" s="374"/>
      <c r="AT85" s="374"/>
      <c r="AU85" s="375"/>
      <c r="AV85" s="91"/>
      <c r="AW85" s="91"/>
      <c r="AX85" s="373"/>
      <c r="AY85" s="374"/>
      <c r="AZ85" s="374"/>
      <c r="BA85" s="374"/>
      <c r="BB85" s="374"/>
      <c r="BC85" s="374"/>
      <c r="BD85" s="374"/>
      <c r="BE85" s="374"/>
      <c r="BF85" s="374"/>
      <c r="BG85" s="374"/>
      <c r="BH85" s="374"/>
      <c r="BI85" s="374"/>
      <c r="BJ85" s="374"/>
      <c r="BK85" s="375"/>
      <c r="BL85" s="5"/>
      <c r="BM85" s="4"/>
      <c r="BN85" s="373"/>
      <c r="BO85" s="374"/>
      <c r="BP85" s="374"/>
      <c r="BQ85" s="374"/>
      <c r="BR85" s="374"/>
      <c r="BS85" s="374"/>
      <c r="BT85" s="374"/>
      <c r="BU85" s="374"/>
      <c r="BV85" s="374"/>
      <c r="BW85" s="374"/>
      <c r="BX85" s="374"/>
      <c r="BY85" s="374"/>
      <c r="BZ85" s="374"/>
      <c r="CA85" s="375"/>
      <c r="CB85" s="91"/>
      <c r="CC85" s="91"/>
      <c r="CD85" s="373"/>
      <c r="CE85" s="374"/>
      <c r="CF85" s="374"/>
      <c r="CG85" s="374"/>
      <c r="CH85" s="374"/>
      <c r="CI85" s="374"/>
      <c r="CJ85" s="374"/>
      <c r="CK85" s="374"/>
      <c r="CL85" s="374"/>
      <c r="CM85" s="374"/>
      <c r="CN85" s="374"/>
      <c r="CO85" s="374"/>
      <c r="CP85" s="374"/>
      <c r="CQ85" s="375"/>
      <c r="CR85" s="5"/>
    </row>
    <row r="86" spans="1:96" ht="12" customHeight="1" x14ac:dyDescent="0.3">
      <c r="A86" s="31"/>
      <c r="B86" s="373"/>
      <c r="C86" s="374"/>
      <c r="D86" s="374"/>
      <c r="E86" s="374"/>
      <c r="F86" s="374"/>
      <c r="G86" s="374"/>
      <c r="H86" s="374"/>
      <c r="I86" s="374"/>
      <c r="J86" s="374"/>
      <c r="K86" s="374"/>
      <c r="L86" s="374"/>
      <c r="M86" s="374"/>
      <c r="N86" s="374"/>
      <c r="O86" s="375"/>
      <c r="P86" s="91"/>
      <c r="Q86" s="91"/>
      <c r="R86" s="373"/>
      <c r="S86" s="374"/>
      <c r="T86" s="374"/>
      <c r="U86" s="374"/>
      <c r="V86" s="374"/>
      <c r="W86" s="374"/>
      <c r="X86" s="374"/>
      <c r="Y86" s="374"/>
      <c r="Z86" s="374"/>
      <c r="AA86" s="374"/>
      <c r="AB86" s="374"/>
      <c r="AC86" s="374"/>
      <c r="AD86" s="374"/>
      <c r="AE86" s="375"/>
      <c r="AF86" s="32"/>
      <c r="AG86" s="31"/>
      <c r="AH86" s="373"/>
      <c r="AI86" s="374"/>
      <c r="AJ86" s="374"/>
      <c r="AK86" s="374"/>
      <c r="AL86" s="374"/>
      <c r="AM86" s="374"/>
      <c r="AN86" s="374"/>
      <c r="AO86" s="374"/>
      <c r="AP86" s="374"/>
      <c r="AQ86" s="374"/>
      <c r="AR86" s="374"/>
      <c r="AS86" s="374"/>
      <c r="AT86" s="374"/>
      <c r="AU86" s="375"/>
      <c r="AV86" s="91"/>
      <c r="AW86" s="91"/>
      <c r="AX86" s="373"/>
      <c r="AY86" s="374"/>
      <c r="AZ86" s="374"/>
      <c r="BA86" s="374"/>
      <c r="BB86" s="374"/>
      <c r="BC86" s="374"/>
      <c r="BD86" s="374"/>
      <c r="BE86" s="374"/>
      <c r="BF86" s="374"/>
      <c r="BG86" s="374"/>
      <c r="BH86" s="374"/>
      <c r="BI86" s="374"/>
      <c r="BJ86" s="374"/>
      <c r="BK86" s="375"/>
      <c r="BL86" s="32"/>
      <c r="BM86" s="31"/>
      <c r="BN86" s="373"/>
      <c r="BO86" s="374"/>
      <c r="BP86" s="374"/>
      <c r="BQ86" s="374"/>
      <c r="BR86" s="374"/>
      <c r="BS86" s="374"/>
      <c r="BT86" s="374"/>
      <c r="BU86" s="374"/>
      <c r="BV86" s="374"/>
      <c r="BW86" s="374"/>
      <c r="BX86" s="374"/>
      <c r="BY86" s="374"/>
      <c r="BZ86" s="374"/>
      <c r="CA86" s="375"/>
      <c r="CB86" s="91"/>
      <c r="CC86" s="91"/>
      <c r="CD86" s="373"/>
      <c r="CE86" s="374"/>
      <c r="CF86" s="374"/>
      <c r="CG86" s="374"/>
      <c r="CH86" s="374"/>
      <c r="CI86" s="374"/>
      <c r="CJ86" s="374"/>
      <c r="CK86" s="374"/>
      <c r="CL86" s="374"/>
      <c r="CM86" s="374"/>
      <c r="CN86" s="374"/>
      <c r="CO86" s="374"/>
      <c r="CP86" s="374"/>
      <c r="CQ86" s="375"/>
      <c r="CR86" s="32"/>
    </row>
    <row r="87" spans="1:96" ht="12" customHeight="1" x14ac:dyDescent="0.3">
      <c r="A87" s="4"/>
      <c r="B87" s="376"/>
      <c r="C87" s="377"/>
      <c r="D87" s="377"/>
      <c r="E87" s="377"/>
      <c r="F87" s="377"/>
      <c r="G87" s="377"/>
      <c r="H87" s="377"/>
      <c r="I87" s="377"/>
      <c r="J87" s="377"/>
      <c r="K87" s="377"/>
      <c r="L87" s="377"/>
      <c r="M87" s="377"/>
      <c r="N87" s="377"/>
      <c r="O87" s="378"/>
      <c r="P87" s="91"/>
      <c r="Q87" s="91"/>
      <c r="R87" s="376"/>
      <c r="S87" s="377"/>
      <c r="T87" s="377"/>
      <c r="U87" s="377"/>
      <c r="V87" s="377"/>
      <c r="W87" s="377"/>
      <c r="X87" s="377"/>
      <c r="Y87" s="377"/>
      <c r="Z87" s="377"/>
      <c r="AA87" s="377"/>
      <c r="AB87" s="377"/>
      <c r="AC87" s="377"/>
      <c r="AD87" s="377"/>
      <c r="AE87" s="378"/>
      <c r="AF87" s="5"/>
      <c r="AG87" s="4"/>
      <c r="AH87" s="376"/>
      <c r="AI87" s="377"/>
      <c r="AJ87" s="377"/>
      <c r="AK87" s="377"/>
      <c r="AL87" s="377"/>
      <c r="AM87" s="377"/>
      <c r="AN87" s="377"/>
      <c r="AO87" s="377"/>
      <c r="AP87" s="377"/>
      <c r="AQ87" s="377"/>
      <c r="AR87" s="377"/>
      <c r="AS87" s="377"/>
      <c r="AT87" s="377"/>
      <c r="AU87" s="378"/>
      <c r="AV87" s="91"/>
      <c r="AW87" s="91"/>
      <c r="AX87" s="376"/>
      <c r="AY87" s="377"/>
      <c r="AZ87" s="377"/>
      <c r="BA87" s="377"/>
      <c r="BB87" s="377"/>
      <c r="BC87" s="377"/>
      <c r="BD87" s="377"/>
      <c r="BE87" s="377"/>
      <c r="BF87" s="377"/>
      <c r="BG87" s="377"/>
      <c r="BH87" s="377"/>
      <c r="BI87" s="377"/>
      <c r="BJ87" s="377"/>
      <c r="BK87" s="378"/>
      <c r="BL87" s="5"/>
      <c r="BM87" s="4"/>
      <c r="BN87" s="376"/>
      <c r="BO87" s="377"/>
      <c r="BP87" s="377"/>
      <c r="BQ87" s="377"/>
      <c r="BR87" s="377"/>
      <c r="BS87" s="377"/>
      <c r="BT87" s="377"/>
      <c r="BU87" s="377"/>
      <c r="BV87" s="377"/>
      <c r="BW87" s="377"/>
      <c r="BX87" s="377"/>
      <c r="BY87" s="377"/>
      <c r="BZ87" s="377"/>
      <c r="CA87" s="378"/>
      <c r="CB87" s="91"/>
      <c r="CC87" s="91"/>
      <c r="CD87" s="376"/>
      <c r="CE87" s="377"/>
      <c r="CF87" s="377"/>
      <c r="CG87" s="377"/>
      <c r="CH87" s="377"/>
      <c r="CI87" s="377"/>
      <c r="CJ87" s="377"/>
      <c r="CK87" s="377"/>
      <c r="CL87" s="377"/>
      <c r="CM87" s="377"/>
      <c r="CN87" s="377"/>
      <c r="CO87" s="377"/>
      <c r="CP87" s="377"/>
      <c r="CQ87" s="378"/>
      <c r="CR87" s="5"/>
    </row>
    <row r="88" spans="1:96" ht="6" customHeight="1" x14ac:dyDescent="0.3">
      <c r="A88" s="4"/>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5"/>
      <c r="AG88" s="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5"/>
      <c r="BM88" s="4"/>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5"/>
    </row>
    <row r="89" spans="1:96" ht="12" customHeight="1" x14ac:dyDescent="0.3">
      <c r="A89" s="4"/>
      <c r="B89" s="504"/>
      <c r="C89" s="505"/>
      <c r="D89" s="505"/>
      <c r="E89" s="505"/>
      <c r="F89" s="505"/>
      <c r="G89" s="505"/>
      <c r="H89" s="505"/>
      <c r="I89" s="505"/>
      <c r="J89" s="505"/>
      <c r="K89" s="505"/>
      <c r="L89" s="505"/>
      <c r="M89" s="505"/>
      <c r="N89" s="505"/>
      <c r="O89" s="505"/>
      <c r="P89" s="505"/>
      <c r="Q89" s="505"/>
      <c r="R89" s="505"/>
      <c r="S89" s="505"/>
      <c r="T89" s="505"/>
      <c r="U89" s="505"/>
      <c r="V89" s="505"/>
      <c r="W89" s="505"/>
      <c r="X89" s="505"/>
      <c r="Y89" s="505"/>
      <c r="Z89" s="505"/>
      <c r="AA89" s="505"/>
      <c r="AB89" s="505"/>
      <c r="AC89" s="505"/>
      <c r="AD89" s="505"/>
      <c r="AE89" s="506"/>
      <c r="AF89" s="5"/>
      <c r="AG89" s="4"/>
      <c r="AH89" s="504"/>
      <c r="AI89" s="505"/>
      <c r="AJ89" s="505"/>
      <c r="AK89" s="505"/>
      <c r="AL89" s="505"/>
      <c r="AM89" s="505"/>
      <c r="AN89" s="505"/>
      <c r="AO89" s="505"/>
      <c r="AP89" s="505"/>
      <c r="AQ89" s="505"/>
      <c r="AR89" s="505"/>
      <c r="AS89" s="505"/>
      <c r="AT89" s="505"/>
      <c r="AU89" s="505"/>
      <c r="AV89" s="505"/>
      <c r="AW89" s="505"/>
      <c r="AX89" s="505"/>
      <c r="AY89" s="505"/>
      <c r="AZ89" s="505"/>
      <c r="BA89" s="505"/>
      <c r="BB89" s="505"/>
      <c r="BC89" s="505"/>
      <c r="BD89" s="505"/>
      <c r="BE89" s="505"/>
      <c r="BF89" s="505"/>
      <c r="BG89" s="505"/>
      <c r="BH89" s="505"/>
      <c r="BI89" s="505"/>
      <c r="BJ89" s="505"/>
      <c r="BK89" s="506"/>
      <c r="BL89" s="5"/>
      <c r="BM89" s="4"/>
      <c r="BN89" s="504"/>
      <c r="BO89" s="505"/>
      <c r="BP89" s="505"/>
      <c r="BQ89" s="505"/>
      <c r="BR89" s="505"/>
      <c r="BS89" s="505"/>
      <c r="BT89" s="505"/>
      <c r="BU89" s="505"/>
      <c r="BV89" s="505"/>
      <c r="BW89" s="505"/>
      <c r="BX89" s="505"/>
      <c r="BY89" s="505"/>
      <c r="BZ89" s="505"/>
      <c r="CA89" s="505"/>
      <c r="CB89" s="505"/>
      <c r="CC89" s="505"/>
      <c r="CD89" s="505"/>
      <c r="CE89" s="505"/>
      <c r="CF89" s="505"/>
      <c r="CG89" s="505"/>
      <c r="CH89" s="505"/>
      <c r="CI89" s="505"/>
      <c r="CJ89" s="505"/>
      <c r="CK89" s="505"/>
      <c r="CL89" s="505"/>
      <c r="CM89" s="505"/>
      <c r="CN89" s="505"/>
      <c r="CO89" s="505"/>
      <c r="CP89" s="505"/>
      <c r="CQ89" s="506"/>
      <c r="CR89" s="5"/>
    </row>
    <row r="90" spans="1:96" ht="12" customHeight="1" x14ac:dyDescent="0.3">
      <c r="A90" s="4"/>
      <c r="B90" s="507"/>
      <c r="C90" s="508"/>
      <c r="D90" s="508"/>
      <c r="E90" s="508"/>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
      <c r="AG90" s="4"/>
      <c r="AH90" s="507"/>
      <c r="AI90" s="508"/>
      <c r="AJ90" s="508"/>
      <c r="AK90" s="508"/>
      <c r="AL90" s="508"/>
      <c r="AM90" s="508"/>
      <c r="AN90" s="508"/>
      <c r="AO90" s="508"/>
      <c r="AP90" s="508"/>
      <c r="AQ90" s="508"/>
      <c r="AR90" s="508"/>
      <c r="AS90" s="508"/>
      <c r="AT90" s="508"/>
      <c r="AU90" s="508"/>
      <c r="AV90" s="508"/>
      <c r="AW90" s="508"/>
      <c r="AX90" s="508"/>
      <c r="AY90" s="508"/>
      <c r="AZ90" s="508"/>
      <c r="BA90" s="508"/>
      <c r="BB90" s="508"/>
      <c r="BC90" s="508"/>
      <c r="BD90" s="508"/>
      <c r="BE90" s="508"/>
      <c r="BF90" s="508"/>
      <c r="BG90" s="508"/>
      <c r="BH90" s="508"/>
      <c r="BI90" s="508"/>
      <c r="BJ90" s="508"/>
      <c r="BK90" s="509"/>
      <c r="BL90" s="5"/>
      <c r="BM90" s="4"/>
      <c r="BN90" s="507"/>
      <c r="BO90" s="508"/>
      <c r="BP90" s="508"/>
      <c r="BQ90" s="508"/>
      <c r="BR90" s="508"/>
      <c r="BS90" s="508"/>
      <c r="BT90" s="508"/>
      <c r="BU90" s="508"/>
      <c r="BV90" s="508"/>
      <c r="BW90" s="508"/>
      <c r="BX90" s="508"/>
      <c r="BY90" s="508"/>
      <c r="BZ90" s="508"/>
      <c r="CA90" s="508"/>
      <c r="CB90" s="508"/>
      <c r="CC90" s="508"/>
      <c r="CD90" s="508"/>
      <c r="CE90" s="508"/>
      <c r="CF90" s="508"/>
      <c r="CG90" s="508"/>
      <c r="CH90" s="508"/>
      <c r="CI90" s="508"/>
      <c r="CJ90" s="508"/>
      <c r="CK90" s="508"/>
      <c r="CL90" s="508"/>
      <c r="CM90" s="508"/>
      <c r="CN90" s="508"/>
      <c r="CO90" s="508"/>
      <c r="CP90" s="508"/>
      <c r="CQ90" s="509"/>
      <c r="CR90" s="5"/>
    </row>
    <row r="91" spans="1:96" ht="12" customHeight="1" x14ac:dyDescent="0.3">
      <c r="A91" s="4"/>
      <c r="B91" s="507"/>
      <c r="C91" s="508"/>
      <c r="D91" s="508"/>
      <c r="E91" s="508"/>
      <c r="F91" s="508"/>
      <c r="G91" s="508"/>
      <c r="H91" s="508"/>
      <c r="I91" s="508"/>
      <c r="J91" s="508"/>
      <c r="K91" s="508"/>
      <c r="L91" s="508"/>
      <c r="M91" s="508"/>
      <c r="N91" s="508"/>
      <c r="O91" s="508"/>
      <c r="P91" s="508"/>
      <c r="Q91" s="508"/>
      <c r="R91" s="508"/>
      <c r="S91" s="508"/>
      <c r="T91" s="508"/>
      <c r="U91" s="508"/>
      <c r="V91" s="508"/>
      <c r="W91" s="508"/>
      <c r="X91" s="508"/>
      <c r="Y91" s="508"/>
      <c r="Z91" s="508"/>
      <c r="AA91" s="508"/>
      <c r="AB91" s="508"/>
      <c r="AC91" s="508"/>
      <c r="AD91" s="508"/>
      <c r="AE91" s="509"/>
      <c r="AF91" s="5"/>
      <c r="AG91" s="4"/>
      <c r="AH91" s="507"/>
      <c r="AI91" s="508"/>
      <c r="AJ91" s="508"/>
      <c r="AK91" s="508"/>
      <c r="AL91" s="508"/>
      <c r="AM91" s="508"/>
      <c r="AN91" s="508"/>
      <c r="AO91" s="508"/>
      <c r="AP91" s="508"/>
      <c r="AQ91" s="508"/>
      <c r="AR91" s="508"/>
      <c r="AS91" s="508"/>
      <c r="AT91" s="508"/>
      <c r="AU91" s="508"/>
      <c r="AV91" s="508"/>
      <c r="AW91" s="508"/>
      <c r="AX91" s="508"/>
      <c r="AY91" s="508"/>
      <c r="AZ91" s="508"/>
      <c r="BA91" s="508"/>
      <c r="BB91" s="508"/>
      <c r="BC91" s="508"/>
      <c r="BD91" s="508"/>
      <c r="BE91" s="508"/>
      <c r="BF91" s="508"/>
      <c r="BG91" s="508"/>
      <c r="BH91" s="508"/>
      <c r="BI91" s="508"/>
      <c r="BJ91" s="508"/>
      <c r="BK91" s="509"/>
      <c r="BL91" s="5"/>
      <c r="BM91" s="4"/>
      <c r="BN91" s="507"/>
      <c r="BO91" s="508"/>
      <c r="BP91" s="508"/>
      <c r="BQ91" s="508"/>
      <c r="BR91" s="508"/>
      <c r="BS91" s="508"/>
      <c r="BT91" s="508"/>
      <c r="BU91" s="508"/>
      <c r="BV91" s="508"/>
      <c r="BW91" s="508"/>
      <c r="BX91" s="508"/>
      <c r="BY91" s="508"/>
      <c r="BZ91" s="508"/>
      <c r="CA91" s="508"/>
      <c r="CB91" s="508"/>
      <c r="CC91" s="508"/>
      <c r="CD91" s="508"/>
      <c r="CE91" s="508"/>
      <c r="CF91" s="508"/>
      <c r="CG91" s="508"/>
      <c r="CH91" s="508"/>
      <c r="CI91" s="508"/>
      <c r="CJ91" s="508"/>
      <c r="CK91" s="508"/>
      <c r="CL91" s="508"/>
      <c r="CM91" s="508"/>
      <c r="CN91" s="508"/>
      <c r="CO91" s="508"/>
      <c r="CP91" s="508"/>
      <c r="CQ91" s="509"/>
      <c r="CR91" s="5"/>
    </row>
    <row r="92" spans="1:96" ht="12" customHeight="1" x14ac:dyDescent="0.3">
      <c r="A92" s="4"/>
      <c r="B92" s="507"/>
      <c r="C92" s="508"/>
      <c r="D92" s="508"/>
      <c r="E92" s="508"/>
      <c r="F92" s="508"/>
      <c r="G92" s="508"/>
      <c r="H92" s="508"/>
      <c r="I92" s="508"/>
      <c r="J92" s="508"/>
      <c r="K92" s="508"/>
      <c r="L92" s="508"/>
      <c r="M92" s="508"/>
      <c r="N92" s="508"/>
      <c r="O92" s="508"/>
      <c r="P92" s="508"/>
      <c r="Q92" s="508"/>
      <c r="R92" s="508"/>
      <c r="S92" s="508"/>
      <c r="T92" s="508"/>
      <c r="U92" s="508"/>
      <c r="V92" s="508"/>
      <c r="W92" s="508"/>
      <c r="X92" s="508"/>
      <c r="Y92" s="508"/>
      <c r="Z92" s="508"/>
      <c r="AA92" s="508"/>
      <c r="AB92" s="508"/>
      <c r="AC92" s="508"/>
      <c r="AD92" s="508"/>
      <c r="AE92" s="509"/>
      <c r="AF92" s="5"/>
      <c r="AG92" s="4"/>
      <c r="AH92" s="507"/>
      <c r="AI92" s="508"/>
      <c r="AJ92" s="508"/>
      <c r="AK92" s="508"/>
      <c r="AL92" s="508"/>
      <c r="AM92" s="508"/>
      <c r="AN92" s="508"/>
      <c r="AO92" s="508"/>
      <c r="AP92" s="508"/>
      <c r="AQ92" s="508"/>
      <c r="AR92" s="508"/>
      <c r="AS92" s="508"/>
      <c r="AT92" s="508"/>
      <c r="AU92" s="508"/>
      <c r="AV92" s="508"/>
      <c r="AW92" s="508"/>
      <c r="AX92" s="508"/>
      <c r="AY92" s="508"/>
      <c r="AZ92" s="508"/>
      <c r="BA92" s="508"/>
      <c r="BB92" s="508"/>
      <c r="BC92" s="508"/>
      <c r="BD92" s="508"/>
      <c r="BE92" s="508"/>
      <c r="BF92" s="508"/>
      <c r="BG92" s="508"/>
      <c r="BH92" s="508"/>
      <c r="BI92" s="508"/>
      <c r="BJ92" s="508"/>
      <c r="BK92" s="509"/>
      <c r="BL92" s="5"/>
      <c r="BM92" s="4"/>
      <c r="BN92" s="507"/>
      <c r="BO92" s="508"/>
      <c r="BP92" s="508"/>
      <c r="BQ92" s="508"/>
      <c r="BR92" s="508"/>
      <c r="BS92" s="508"/>
      <c r="BT92" s="508"/>
      <c r="BU92" s="508"/>
      <c r="BV92" s="508"/>
      <c r="BW92" s="508"/>
      <c r="BX92" s="508"/>
      <c r="BY92" s="508"/>
      <c r="BZ92" s="508"/>
      <c r="CA92" s="508"/>
      <c r="CB92" s="508"/>
      <c r="CC92" s="508"/>
      <c r="CD92" s="508"/>
      <c r="CE92" s="508"/>
      <c r="CF92" s="508"/>
      <c r="CG92" s="508"/>
      <c r="CH92" s="508"/>
      <c r="CI92" s="508"/>
      <c r="CJ92" s="508"/>
      <c r="CK92" s="508"/>
      <c r="CL92" s="508"/>
      <c r="CM92" s="508"/>
      <c r="CN92" s="508"/>
      <c r="CO92" s="508"/>
      <c r="CP92" s="508"/>
      <c r="CQ92" s="509"/>
      <c r="CR92" s="5"/>
    </row>
    <row r="93" spans="1:96" ht="12" customHeight="1" x14ac:dyDescent="0.3">
      <c r="A93" s="4"/>
      <c r="B93" s="507"/>
      <c r="C93" s="508"/>
      <c r="D93" s="508"/>
      <c r="E93" s="508"/>
      <c r="F93" s="508"/>
      <c r="G93" s="508"/>
      <c r="H93" s="508"/>
      <c r="I93" s="508"/>
      <c r="J93" s="508"/>
      <c r="K93" s="508"/>
      <c r="L93" s="508"/>
      <c r="M93" s="508"/>
      <c r="N93" s="508"/>
      <c r="O93" s="508"/>
      <c r="P93" s="508"/>
      <c r="Q93" s="508"/>
      <c r="R93" s="508"/>
      <c r="S93" s="508"/>
      <c r="T93" s="508"/>
      <c r="U93" s="508"/>
      <c r="V93" s="508"/>
      <c r="W93" s="508"/>
      <c r="X93" s="508"/>
      <c r="Y93" s="508"/>
      <c r="Z93" s="508"/>
      <c r="AA93" s="508"/>
      <c r="AB93" s="508"/>
      <c r="AC93" s="508"/>
      <c r="AD93" s="508"/>
      <c r="AE93" s="509"/>
      <c r="AF93" s="5"/>
      <c r="AG93" s="4"/>
      <c r="AH93" s="507"/>
      <c r="AI93" s="508"/>
      <c r="AJ93" s="508"/>
      <c r="AK93" s="508"/>
      <c r="AL93" s="508"/>
      <c r="AM93" s="508"/>
      <c r="AN93" s="508"/>
      <c r="AO93" s="508"/>
      <c r="AP93" s="508"/>
      <c r="AQ93" s="508"/>
      <c r="AR93" s="508"/>
      <c r="AS93" s="508"/>
      <c r="AT93" s="508"/>
      <c r="AU93" s="508"/>
      <c r="AV93" s="508"/>
      <c r="AW93" s="508"/>
      <c r="AX93" s="508"/>
      <c r="AY93" s="508"/>
      <c r="AZ93" s="508"/>
      <c r="BA93" s="508"/>
      <c r="BB93" s="508"/>
      <c r="BC93" s="508"/>
      <c r="BD93" s="508"/>
      <c r="BE93" s="508"/>
      <c r="BF93" s="508"/>
      <c r="BG93" s="508"/>
      <c r="BH93" s="508"/>
      <c r="BI93" s="508"/>
      <c r="BJ93" s="508"/>
      <c r="BK93" s="509"/>
      <c r="BL93" s="5"/>
      <c r="BM93" s="4"/>
      <c r="BN93" s="507"/>
      <c r="BO93" s="508"/>
      <c r="BP93" s="508"/>
      <c r="BQ93" s="508"/>
      <c r="BR93" s="508"/>
      <c r="BS93" s="508"/>
      <c r="BT93" s="508"/>
      <c r="BU93" s="508"/>
      <c r="BV93" s="508"/>
      <c r="BW93" s="508"/>
      <c r="BX93" s="508"/>
      <c r="BY93" s="508"/>
      <c r="BZ93" s="508"/>
      <c r="CA93" s="508"/>
      <c r="CB93" s="508"/>
      <c r="CC93" s="508"/>
      <c r="CD93" s="508"/>
      <c r="CE93" s="508"/>
      <c r="CF93" s="508"/>
      <c r="CG93" s="508"/>
      <c r="CH93" s="508"/>
      <c r="CI93" s="508"/>
      <c r="CJ93" s="508"/>
      <c r="CK93" s="508"/>
      <c r="CL93" s="508"/>
      <c r="CM93" s="508"/>
      <c r="CN93" s="508"/>
      <c r="CO93" s="508"/>
      <c r="CP93" s="508"/>
      <c r="CQ93" s="509"/>
      <c r="CR93" s="5"/>
    </row>
    <row r="94" spans="1:96" ht="12" customHeight="1" x14ac:dyDescent="0.3">
      <c r="A94" s="4"/>
      <c r="B94" s="507"/>
      <c r="C94" s="508"/>
      <c r="D94" s="508"/>
      <c r="E94" s="508"/>
      <c r="F94" s="508"/>
      <c r="G94" s="508"/>
      <c r="H94" s="508"/>
      <c r="I94" s="508"/>
      <c r="J94" s="508"/>
      <c r="K94" s="508"/>
      <c r="L94" s="508"/>
      <c r="M94" s="508"/>
      <c r="N94" s="508"/>
      <c r="O94" s="508"/>
      <c r="P94" s="508"/>
      <c r="Q94" s="508"/>
      <c r="R94" s="508"/>
      <c r="S94" s="508"/>
      <c r="T94" s="508"/>
      <c r="U94" s="508"/>
      <c r="V94" s="508"/>
      <c r="W94" s="508"/>
      <c r="X94" s="508"/>
      <c r="Y94" s="508"/>
      <c r="Z94" s="508"/>
      <c r="AA94" s="508"/>
      <c r="AB94" s="508"/>
      <c r="AC94" s="508"/>
      <c r="AD94" s="508"/>
      <c r="AE94" s="509"/>
      <c r="AF94" s="5"/>
      <c r="AG94" s="4"/>
      <c r="AH94" s="507"/>
      <c r="AI94" s="508"/>
      <c r="AJ94" s="508"/>
      <c r="AK94" s="508"/>
      <c r="AL94" s="508"/>
      <c r="AM94" s="508"/>
      <c r="AN94" s="508"/>
      <c r="AO94" s="508"/>
      <c r="AP94" s="508"/>
      <c r="AQ94" s="508"/>
      <c r="AR94" s="508"/>
      <c r="AS94" s="508"/>
      <c r="AT94" s="508"/>
      <c r="AU94" s="508"/>
      <c r="AV94" s="508"/>
      <c r="AW94" s="508"/>
      <c r="AX94" s="508"/>
      <c r="AY94" s="508"/>
      <c r="AZ94" s="508"/>
      <c r="BA94" s="508"/>
      <c r="BB94" s="508"/>
      <c r="BC94" s="508"/>
      <c r="BD94" s="508"/>
      <c r="BE94" s="508"/>
      <c r="BF94" s="508"/>
      <c r="BG94" s="508"/>
      <c r="BH94" s="508"/>
      <c r="BI94" s="508"/>
      <c r="BJ94" s="508"/>
      <c r="BK94" s="509"/>
      <c r="BL94" s="5"/>
      <c r="BM94" s="4"/>
      <c r="BN94" s="507"/>
      <c r="BO94" s="508"/>
      <c r="BP94" s="508"/>
      <c r="BQ94" s="508"/>
      <c r="BR94" s="508"/>
      <c r="BS94" s="508"/>
      <c r="BT94" s="508"/>
      <c r="BU94" s="508"/>
      <c r="BV94" s="508"/>
      <c r="BW94" s="508"/>
      <c r="BX94" s="508"/>
      <c r="BY94" s="508"/>
      <c r="BZ94" s="508"/>
      <c r="CA94" s="508"/>
      <c r="CB94" s="508"/>
      <c r="CC94" s="508"/>
      <c r="CD94" s="508"/>
      <c r="CE94" s="508"/>
      <c r="CF94" s="508"/>
      <c r="CG94" s="508"/>
      <c r="CH94" s="508"/>
      <c r="CI94" s="508"/>
      <c r="CJ94" s="508"/>
      <c r="CK94" s="508"/>
      <c r="CL94" s="508"/>
      <c r="CM94" s="508"/>
      <c r="CN94" s="508"/>
      <c r="CO94" s="508"/>
      <c r="CP94" s="508"/>
      <c r="CQ94" s="509"/>
      <c r="CR94" s="5"/>
    </row>
    <row r="95" spans="1:96" ht="12" customHeight="1" x14ac:dyDescent="0.3">
      <c r="A95" s="4"/>
      <c r="B95" s="507"/>
      <c r="C95" s="508"/>
      <c r="D95" s="508"/>
      <c r="E95" s="508"/>
      <c r="F95" s="508"/>
      <c r="G95" s="508"/>
      <c r="H95" s="508"/>
      <c r="I95" s="508"/>
      <c r="J95" s="508"/>
      <c r="K95" s="508"/>
      <c r="L95" s="508"/>
      <c r="M95" s="508"/>
      <c r="N95" s="508"/>
      <c r="O95" s="508"/>
      <c r="P95" s="508"/>
      <c r="Q95" s="508"/>
      <c r="R95" s="508"/>
      <c r="S95" s="508"/>
      <c r="T95" s="508"/>
      <c r="U95" s="508"/>
      <c r="V95" s="508"/>
      <c r="W95" s="508"/>
      <c r="X95" s="508"/>
      <c r="Y95" s="508"/>
      <c r="Z95" s="508"/>
      <c r="AA95" s="508"/>
      <c r="AB95" s="508"/>
      <c r="AC95" s="508"/>
      <c r="AD95" s="508"/>
      <c r="AE95" s="509"/>
      <c r="AF95" s="5"/>
      <c r="AG95" s="4"/>
      <c r="AH95" s="507"/>
      <c r="AI95" s="508"/>
      <c r="AJ95" s="508"/>
      <c r="AK95" s="508"/>
      <c r="AL95" s="508"/>
      <c r="AM95" s="508"/>
      <c r="AN95" s="508"/>
      <c r="AO95" s="508"/>
      <c r="AP95" s="508"/>
      <c r="AQ95" s="508"/>
      <c r="AR95" s="508"/>
      <c r="AS95" s="508"/>
      <c r="AT95" s="508"/>
      <c r="AU95" s="508"/>
      <c r="AV95" s="508"/>
      <c r="AW95" s="508"/>
      <c r="AX95" s="508"/>
      <c r="AY95" s="508"/>
      <c r="AZ95" s="508"/>
      <c r="BA95" s="508"/>
      <c r="BB95" s="508"/>
      <c r="BC95" s="508"/>
      <c r="BD95" s="508"/>
      <c r="BE95" s="508"/>
      <c r="BF95" s="508"/>
      <c r="BG95" s="508"/>
      <c r="BH95" s="508"/>
      <c r="BI95" s="508"/>
      <c r="BJ95" s="508"/>
      <c r="BK95" s="509"/>
      <c r="BL95" s="5"/>
      <c r="BM95" s="4"/>
      <c r="BN95" s="507"/>
      <c r="BO95" s="508"/>
      <c r="BP95" s="508"/>
      <c r="BQ95" s="508"/>
      <c r="BR95" s="508"/>
      <c r="BS95" s="508"/>
      <c r="BT95" s="508"/>
      <c r="BU95" s="508"/>
      <c r="BV95" s="508"/>
      <c r="BW95" s="508"/>
      <c r="BX95" s="508"/>
      <c r="BY95" s="508"/>
      <c r="BZ95" s="508"/>
      <c r="CA95" s="508"/>
      <c r="CB95" s="508"/>
      <c r="CC95" s="508"/>
      <c r="CD95" s="508"/>
      <c r="CE95" s="508"/>
      <c r="CF95" s="508"/>
      <c r="CG95" s="508"/>
      <c r="CH95" s="508"/>
      <c r="CI95" s="508"/>
      <c r="CJ95" s="508"/>
      <c r="CK95" s="508"/>
      <c r="CL95" s="508"/>
      <c r="CM95" s="508"/>
      <c r="CN95" s="508"/>
      <c r="CO95" s="508"/>
      <c r="CP95" s="508"/>
      <c r="CQ95" s="509"/>
      <c r="CR95" s="5"/>
    </row>
    <row r="96" spans="1:96" ht="12" customHeight="1" x14ac:dyDescent="0.3">
      <c r="A96" s="39"/>
      <c r="B96" s="507"/>
      <c r="C96" s="508"/>
      <c r="D96" s="508"/>
      <c r="E96" s="508"/>
      <c r="F96" s="508"/>
      <c r="G96" s="508"/>
      <c r="H96" s="508"/>
      <c r="I96" s="508"/>
      <c r="J96" s="508"/>
      <c r="K96" s="508"/>
      <c r="L96" s="508"/>
      <c r="M96" s="508"/>
      <c r="N96" s="508"/>
      <c r="O96" s="508"/>
      <c r="P96" s="508"/>
      <c r="Q96" s="508"/>
      <c r="R96" s="508"/>
      <c r="S96" s="508"/>
      <c r="T96" s="508"/>
      <c r="U96" s="508"/>
      <c r="V96" s="508"/>
      <c r="W96" s="508"/>
      <c r="X96" s="508"/>
      <c r="Y96" s="508"/>
      <c r="Z96" s="508"/>
      <c r="AA96" s="508"/>
      <c r="AB96" s="508"/>
      <c r="AC96" s="508"/>
      <c r="AD96" s="508"/>
      <c r="AE96" s="509"/>
      <c r="AF96" s="49"/>
      <c r="AG96" s="39"/>
      <c r="AH96" s="507"/>
      <c r="AI96" s="508"/>
      <c r="AJ96" s="508"/>
      <c r="AK96" s="508"/>
      <c r="AL96" s="508"/>
      <c r="AM96" s="508"/>
      <c r="AN96" s="508"/>
      <c r="AO96" s="508"/>
      <c r="AP96" s="508"/>
      <c r="AQ96" s="508"/>
      <c r="AR96" s="508"/>
      <c r="AS96" s="508"/>
      <c r="AT96" s="508"/>
      <c r="AU96" s="508"/>
      <c r="AV96" s="508"/>
      <c r="AW96" s="508"/>
      <c r="AX96" s="508"/>
      <c r="AY96" s="508"/>
      <c r="AZ96" s="508"/>
      <c r="BA96" s="508"/>
      <c r="BB96" s="508"/>
      <c r="BC96" s="508"/>
      <c r="BD96" s="508"/>
      <c r="BE96" s="508"/>
      <c r="BF96" s="508"/>
      <c r="BG96" s="508"/>
      <c r="BH96" s="508"/>
      <c r="BI96" s="508"/>
      <c r="BJ96" s="508"/>
      <c r="BK96" s="509"/>
      <c r="BL96" s="49"/>
      <c r="BM96" s="39"/>
      <c r="BN96" s="507"/>
      <c r="BO96" s="508"/>
      <c r="BP96" s="508"/>
      <c r="BQ96" s="508"/>
      <c r="BR96" s="508"/>
      <c r="BS96" s="508"/>
      <c r="BT96" s="508"/>
      <c r="BU96" s="508"/>
      <c r="BV96" s="508"/>
      <c r="BW96" s="508"/>
      <c r="BX96" s="508"/>
      <c r="BY96" s="508"/>
      <c r="BZ96" s="508"/>
      <c r="CA96" s="508"/>
      <c r="CB96" s="508"/>
      <c r="CC96" s="508"/>
      <c r="CD96" s="508"/>
      <c r="CE96" s="508"/>
      <c r="CF96" s="508"/>
      <c r="CG96" s="508"/>
      <c r="CH96" s="508"/>
      <c r="CI96" s="508"/>
      <c r="CJ96" s="508"/>
      <c r="CK96" s="508"/>
      <c r="CL96" s="508"/>
      <c r="CM96" s="508"/>
      <c r="CN96" s="508"/>
      <c r="CO96" s="508"/>
      <c r="CP96" s="508"/>
      <c r="CQ96" s="509"/>
      <c r="CR96" s="49"/>
    </row>
    <row r="97" spans="1:96" ht="12" customHeight="1" x14ac:dyDescent="0.3">
      <c r="A97" s="39"/>
      <c r="B97" s="507"/>
      <c r="C97" s="508"/>
      <c r="D97" s="508"/>
      <c r="E97" s="508"/>
      <c r="F97" s="508"/>
      <c r="G97" s="508"/>
      <c r="H97" s="508"/>
      <c r="I97" s="508"/>
      <c r="J97" s="508"/>
      <c r="K97" s="508"/>
      <c r="L97" s="508"/>
      <c r="M97" s="508"/>
      <c r="N97" s="508"/>
      <c r="O97" s="508"/>
      <c r="P97" s="508"/>
      <c r="Q97" s="508"/>
      <c r="R97" s="508"/>
      <c r="S97" s="508"/>
      <c r="T97" s="508"/>
      <c r="U97" s="508"/>
      <c r="V97" s="508"/>
      <c r="W97" s="508"/>
      <c r="X97" s="508"/>
      <c r="Y97" s="508"/>
      <c r="Z97" s="508"/>
      <c r="AA97" s="508"/>
      <c r="AB97" s="508"/>
      <c r="AC97" s="508"/>
      <c r="AD97" s="508"/>
      <c r="AE97" s="509"/>
      <c r="AF97" s="49"/>
      <c r="AG97" s="39"/>
      <c r="AH97" s="507"/>
      <c r="AI97" s="508"/>
      <c r="AJ97" s="508"/>
      <c r="AK97" s="508"/>
      <c r="AL97" s="508"/>
      <c r="AM97" s="508"/>
      <c r="AN97" s="508"/>
      <c r="AO97" s="508"/>
      <c r="AP97" s="508"/>
      <c r="AQ97" s="508"/>
      <c r="AR97" s="508"/>
      <c r="AS97" s="508"/>
      <c r="AT97" s="508"/>
      <c r="AU97" s="508"/>
      <c r="AV97" s="508"/>
      <c r="AW97" s="508"/>
      <c r="AX97" s="508"/>
      <c r="AY97" s="508"/>
      <c r="AZ97" s="508"/>
      <c r="BA97" s="508"/>
      <c r="BB97" s="508"/>
      <c r="BC97" s="508"/>
      <c r="BD97" s="508"/>
      <c r="BE97" s="508"/>
      <c r="BF97" s="508"/>
      <c r="BG97" s="508"/>
      <c r="BH97" s="508"/>
      <c r="BI97" s="508"/>
      <c r="BJ97" s="508"/>
      <c r="BK97" s="509"/>
      <c r="BL97" s="49"/>
      <c r="BM97" s="39"/>
      <c r="BN97" s="507"/>
      <c r="BO97" s="508"/>
      <c r="BP97" s="508"/>
      <c r="BQ97" s="508"/>
      <c r="BR97" s="508"/>
      <c r="BS97" s="508"/>
      <c r="BT97" s="508"/>
      <c r="BU97" s="508"/>
      <c r="BV97" s="508"/>
      <c r="BW97" s="508"/>
      <c r="BX97" s="508"/>
      <c r="BY97" s="508"/>
      <c r="BZ97" s="508"/>
      <c r="CA97" s="508"/>
      <c r="CB97" s="508"/>
      <c r="CC97" s="508"/>
      <c r="CD97" s="508"/>
      <c r="CE97" s="508"/>
      <c r="CF97" s="508"/>
      <c r="CG97" s="508"/>
      <c r="CH97" s="508"/>
      <c r="CI97" s="508"/>
      <c r="CJ97" s="508"/>
      <c r="CK97" s="508"/>
      <c r="CL97" s="508"/>
      <c r="CM97" s="508"/>
      <c r="CN97" s="508"/>
      <c r="CO97" s="508"/>
      <c r="CP97" s="508"/>
      <c r="CQ97" s="509"/>
      <c r="CR97" s="49"/>
    </row>
    <row r="98" spans="1:96" ht="12" customHeight="1" x14ac:dyDescent="0.3">
      <c r="A98" s="50"/>
      <c r="B98" s="507"/>
      <c r="C98" s="508"/>
      <c r="D98" s="508"/>
      <c r="E98" s="508"/>
      <c r="F98" s="508"/>
      <c r="G98" s="508"/>
      <c r="H98" s="508"/>
      <c r="I98" s="508"/>
      <c r="J98" s="508"/>
      <c r="K98" s="508"/>
      <c r="L98" s="508"/>
      <c r="M98" s="508"/>
      <c r="N98" s="508"/>
      <c r="O98" s="508"/>
      <c r="P98" s="508"/>
      <c r="Q98" s="508"/>
      <c r="R98" s="508"/>
      <c r="S98" s="508"/>
      <c r="T98" s="508"/>
      <c r="U98" s="508"/>
      <c r="V98" s="508"/>
      <c r="W98" s="508"/>
      <c r="X98" s="508"/>
      <c r="Y98" s="508"/>
      <c r="Z98" s="508"/>
      <c r="AA98" s="508"/>
      <c r="AB98" s="508"/>
      <c r="AC98" s="508"/>
      <c r="AD98" s="508"/>
      <c r="AE98" s="509"/>
      <c r="AF98" s="51"/>
      <c r="AG98" s="50"/>
      <c r="AH98" s="507"/>
      <c r="AI98" s="508"/>
      <c r="AJ98" s="508"/>
      <c r="AK98" s="508"/>
      <c r="AL98" s="508"/>
      <c r="AM98" s="508"/>
      <c r="AN98" s="508"/>
      <c r="AO98" s="508"/>
      <c r="AP98" s="508"/>
      <c r="AQ98" s="508"/>
      <c r="AR98" s="508"/>
      <c r="AS98" s="508"/>
      <c r="AT98" s="508"/>
      <c r="AU98" s="508"/>
      <c r="AV98" s="508"/>
      <c r="AW98" s="508"/>
      <c r="AX98" s="508"/>
      <c r="AY98" s="508"/>
      <c r="AZ98" s="508"/>
      <c r="BA98" s="508"/>
      <c r="BB98" s="508"/>
      <c r="BC98" s="508"/>
      <c r="BD98" s="508"/>
      <c r="BE98" s="508"/>
      <c r="BF98" s="508"/>
      <c r="BG98" s="508"/>
      <c r="BH98" s="508"/>
      <c r="BI98" s="508"/>
      <c r="BJ98" s="508"/>
      <c r="BK98" s="509"/>
      <c r="BL98" s="51"/>
      <c r="BM98" s="50"/>
      <c r="BN98" s="507"/>
      <c r="BO98" s="508"/>
      <c r="BP98" s="508"/>
      <c r="BQ98" s="508"/>
      <c r="BR98" s="508"/>
      <c r="BS98" s="508"/>
      <c r="BT98" s="508"/>
      <c r="BU98" s="508"/>
      <c r="BV98" s="508"/>
      <c r="BW98" s="508"/>
      <c r="BX98" s="508"/>
      <c r="BY98" s="508"/>
      <c r="BZ98" s="508"/>
      <c r="CA98" s="508"/>
      <c r="CB98" s="508"/>
      <c r="CC98" s="508"/>
      <c r="CD98" s="508"/>
      <c r="CE98" s="508"/>
      <c r="CF98" s="508"/>
      <c r="CG98" s="508"/>
      <c r="CH98" s="508"/>
      <c r="CI98" s="508"/>
      <c r="CJ98" s="508"/>
      <c r="CK98" s="508"/>
      <c r="CL98" s="508"/>
      <c r="CM98" s="508"/>
      <c r="CN98" s="508"/>
      <c r="CO98" s="508"/>
      <c r="CP98" s="508"/>
      <c r="CQ98" s="509"/>
      <c r="CR98" s="51"/>
    </row>
    <row r="99" spans="1:96" ht="12" customHeight="1" x14ac:dyDescent="0.3">
      <c r="A99" s="39"/>
      <c r="B99" s="507"/>
      <c r="C99" s="508"/>
      <c r="D99" s="508"/>
      <c r="E99" s="508"/>
      <c r="F99" s="508"/>
      <c r="G99" s="508"/>
      <c r="H99" s="508"/>
      <c r="I99" s="508"/>
      <c r="J99" s="508"/>
      <c r="K99" s="508"/>
      <c r="L99" s="508"/>
      <c r="M99" s="508"/>
      <c r="N99" s="508"/>
      <c r="O99" s="508"/>
      <c r="P99" s="508"/>
      <c r="Q99" s="508"/>
      <c r="R99" s="508"/>
      <c r="S99" s="508"/>
      <c r="T99" s="508"/>
      <c r="U99" s="508"/>
      <c r="V99" s="508"/>
      <c r="W99" s="508"/>
      <c r="X99" s="508"/>
      <c r="Y99" s="508"/>
      <c r="Z99" s="508"/>
      <c r="AA99" s="508"/>
      <c r="AB99" s="508"/>
      <c r="AC99" s="508"/>
      <c r="AD99" s="508"/>
      <c r="AE99" s="509"/>
      <c r="AF99" s="49"/>
      <c r="AG99" s="39"/>
      <c r="AH99" s="507"/>
      <c r="AI99" s="508"/>
      <c r="AJ99" s="508"/>
      <c r="AK99" s="508"/>
      <c r="AL99" s="508"/>
      <c r="AM99" s="508"/>
      <c r="AN99" s="508"/>
      <c r="AO99" s="508"/>
      <c r="AP99" s="508"/>
      <c r="AQ99" s="508"/>
      <c r="AR99" s="508"/>
      <c r="AS99" s="508"/>
      <c r="AT99" s="508"/>
      <c r="AU99" s="508"/>
      <c r="AV99" s="508"/>
      <c r="AW99" s="508"/>
      <c r="AX99" s="508"/>
      <c r="AY99" s="508"/>
      <c r="AZ99" s="508"/>
      <c r="BA99" s="508"/>
      <c r="BB99" s="508"/>
      <c r="BC99" s="508"/>
      <c r="BD99" s="508"/>
      <c r="BE99" s="508"/>
      <c r="BF99" s="508"/>
      <c r="BG99" s="508"/>
      <c r="BH99" s="508"/>
      <c r="BI99" s="508"/>
      <c r="BJ99" s="508"/>
      <c r="BK99" s="509"/>
      <c r="BL99" s="49"/>
      <c r="BM99" s="39"/>
      <c r="BN99" s="507"/>
      <c r="BO99" s="508"/>
      <c r="BP99" s="508"/>
      <c r="BQ99" s="508"/>
      <c r="BR99" s="508"/>
      <c r="BS99" s="508"/>
      <c r="BT99" s="508"/>
      <c r="BU99" s="508"/>
      <c r="BV99" s="508"/>
      <c r="BW99" s="508"/>
      <c r="BX99" s="508"/>
      <c r="BY99" s="508"/>
      <c r="BZ99" s="508"/>
      <c r="CA99" s="508"/>
      <c r="CB99" s="508"/>
      <c r="CC99" s="508"/>
      <c r="CD99" s="508"/>
      <c r="CE99" s="508"/>
      <c r="CF99" s="508"/>
      <c r="CG99" s="508"/>
      <c r="CH99" s="508"/>
      <c r="CI99" s="508"/>
      <c r="CJ99" s="508"/>
      <c r="CK99" s="508"/>
      <c r="CL99" s="508"/>
      <c r="CM99" s="508"/>
      <c r="CN99" s="508"/>
      <c r="CO99" s="508"/>
      <c r="CP99" s="508"/>
      <c r="CQ99" s="509"/>
      <c r="CR99" s="49"/>
    </row>
    <row r="100" spans="1:96" ht="12" customHeight="1" x14ac:dyDescent="0.3">
      <c r="A100" s="31"/>
      <c r="B100" s="507"/>
      <c r="C100" s="508"/>
      <c r="D100" s="508"/>
      <c r="E100" s="508"/>
      <c r="F100" s="508"/>
      <c r="G100" s="508"/>
      <c r="H100" s="508"/>
      <c r="I100" s="508"/>
      <c r="J100" s="508"/>
      <c r="K100" s="508"/>
      <c r="L100" s="508"/>
      <c r="M100" s="508"/>
      <c r="N100" s="508"/>
      <c r="O100" s="508"/>
      <c r="P100" s="508"/>
      <c r="Q100" s="508"/>
      <c r="R100" s="508"/>
      <c r="S100" s="508"/>
      <c r="T100" s="508"/>
      <c r="U100" s="508"/>
      <c r="V100" s="508"/>
      <c r="W100" s="508"/>
      <c r="X100" s="508"/>
      <c r="Y100" s="508"/>
      <c r="Z100" s="508"/>
      <c r="AA100" s="508"/>
      <c r="AB100" s="508"/>
      <c r="AC100" s="508"/>
      <c r="AD100" s="508"/>
      <c r="AE100" s="509"/>
      <c r="AF100" s="32"/>
      <c r="AG100" s="31"/>
      <c r="AH100" s="507"/>
      <c r="AI100" s="508"/>
      <c r="AJ100" s="508"/>
      <c r="AK100" s="508"/>
      <c r="AL100" s="508"/>
      <c r="AM100" s="508"/>
      <c r="AN100" s="508"/>
      <c r="AO100" s="508"/>
      <c r="AP100" s="508"/>
      <c r="AQ100" s="508"/>
      <c r="AR100" s="508"/>
      <c r="AS100" s="508"/>
      <c r="AT100" s="508"/>
      <c r="AU100" s="508"/>
      <c r="AV100" s="508"/>
      <c r="AW100" s="508"/>
      <c r="AX100" s="508"/>
      <c r="AY100" s="508"/>
      <c r="AZ100" s="508"/>
      <c r="BA100" s="508"/>
      <c r="BB100" s="508"/>
      <c r="BC100" s="508"/>
      <c r="BD100" s="508"/>
      <c r="BE100" s="508"/>
      <c r="BF100" s="508"/>
      <c r="BG100" s="508"/>
      <c r="BH100" s="508"/>
      <c r="BI100" s="508"/>
      <c r="BJ100" s="508"/>
      <c r="BK100" s="509"/>
      <c r="BL100" s="32"/>
      <c r="BM100" s="31"/>
      <c r="BN100" s="507"/>
      <c r="BO100" s="508"/>
      <c r="BP100" s="508"/>
      <c r="BQ100" s="508"/>
      <c r="BR100" s="508"/>
      <c r="BS100" s="508"/>
      <c r="BT100" s="508"/>
      <c r="BU100" s="508"/>
      <c r="BV100" s="508"/>
      <c r="BW100" s="508"/>
      <c r="BX100" s="508"/>
      <c r="BY100" s="508"/>
      <c r="BZ100" s="508"/>
      <c r="CA100" s="508"/>
      <c r="CB100" s="508"/>
      <c r="CC100" s="508"/>
      <c r="CD100" s="508"/>
      <c r="CE100" s="508"/>
      <c r="CF100" s="508"/>
      <c r="CG100" s="508"/>
      <c r="CH100" s="508"/>
      <c r="CI100" s="508"/>
      <c r="CJ100" s="508"/>
      <c r="CK100" s="508"/>
      <c r="CL100" s="508"/>
      <c r="CM100" s="508"/>
      <c r="CN100" s="508"/>
      <c r="CO100" s="508"/>
      <c r="CP100" s="508"/>
      <c r="CQ100" s="509"/>
      <c r="CR100" s="32"/>
    </row>
    <row r="101" spans="1:96" ht="12" customHeight="1" x14ac:dyDescent="0.3">
      <c r="A101" s="55"/>
      <c r="B101" s="507"/>
      <c r="C101" s="508"/>
      <c r="D101" s="508"/>
      <c r="E101" s="508"/>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7"/>
      <c r="AG101" s="55"/>
      <c r="AH101" s="507"/>
      <c r="AI101" s="508"/>
      <c r="AJ101" s="508"/>
      <c r="AK101" s="508"/>
      <c r="AL101" s="508"/>
      <c r="AM101" s="508"/>
      <c r="AN101" s="508"/>
      <c r="AO101" s="508"/>
      <c r="AP101" s="508"/>
      <c r="AQ101" s="508"/>
      <c r="AR101" s="508"/>
      <c r="AS101" s="508"/>
      <c r="AT101" s="508"/>
      <c r="AU101" s="508"/>
      <c r="AV101" s="508"/>
      <c r="AW101" s="508"/>
      <c r="AX101" s="508"/>
      <c r="AY101" s="508"/>
      <c r="AZ101" s="508"/>
      <c r="BA101" s="508"/>
      <c r="BB101" s="508"/>
      <c r="BC101" s="508"/>
      <c r="BD101" s="508"/>
      <c r="BE101" s="508"/>
      <c r="BF101" s="508"/>
      <c r="BG101" s="508"/>
      <c r="BH101" s="508"/>
      <c r="BI101" s="508"/>
      <c r="BJ101" s="508"/>
      <c r="BK101" s="509"/>
      <c r="BL101" s="57"/>
      <c r="BM101" s="55"/>
      <c r="BN101" s="507"/>
      <c r="BO101" s="508"/>
      <c r="BP101" s="508"/>
      <c r="BQ101" s="508"/>
      <c r="BR101" s="508"/>
      <c r="BS101" s="508"/>
      <c r="BT101" s="508"/>
      <c r="BU101" s="508"/>
      <c r="BV101" s="508"/>
      <c r="BW101" s="508"/>
      <c r="BX101" s="508"/>
      <c r="BY101" s="508"/>
      <c r="BZ101" s="508"/>
      <c r="CA101" s="508"/>
      <c r="CB101" s="508"/>
      <c r="CC101" s="508"/>
      <c r="CD101" s="508"/>
      <c r="CE101" s="508"/>
      <c r="CF101" s="508"/>
      <c r="CG101" s="508"/>
      <c r="CH101" s="508"/>
      <c r="CI101" s="508"/>
      <c r="CJ101" s="508"/>
      <c r="CK101" s="508"/>
      <c r="CL101" s="508"/>
      <c r="CM101" s="508"/>
      <c r="CN101" s="508"/>
      <c r="CO101" s="508"/>
      <c r="CP101" s="508"/>
      <c r="CQ101" s="509"/>
      <c r="CR101" s="57"/>
    </row>
    <row r="102" spans="1:96" ht="12" customHeight="1" x14ac:dyDescent="0.3">
      <c r="A102" s="55"/>
      <c r="B102" s="507"/>
      <c r="C102" s="508"/>
      <c r="D102" s="508"/>
      <c r="E102" s="508"/>
      <c r="F102" s="508"/>
      <c r="G102" s="508"/>
      <c r="H102" s="508"/>
      <c r="I102" s="508"/>
      <c r="J102" s="508"/>
      <c r="K102" s="508"/>
      <c r="L102" s="508"/>
      <c r="M102" s="508"/>
      <c r="N102" s="508"/>
      <c r="O102" s="508"/>
      <c r="P102" s="508"/>
      <c r="Q102" s="508"/>
      <c r="R102" s="508"/>
      <c r="S102" s="508"/>
      <c r="T102" s="508"/>
      <c r="U102" s="508"/>
      <c r="V102" s="508"/>
      <c r="W102" s="508"/>
      <c r="X102" s="508"/>
      <c r="Y102" s="508"/>
      <c r="Z102" s="508"/>
      <c r="AA102" s="508"/>
      <c r="AB102" s="508"/>
      <c r="AC102" s="508"/>
      <c r="AD102" s="508"/>
      <c r="AE102" s="509"/>
      <c r="AF102" s="57"/>
      <c r="AG102" s="55"/>
      <c r="AH102" s="507"/>
      <c r="AI102" s="508"/>
      <c r="AJ102" s="508"/>
      <c r="AK102" s="508"/>
      <c r="AL102" s="508"/>
      <c r="AM102" s="508"/>
      <c r="AN102" s="508"/>
      <c r="AO102" s="508"/>
      <c r="AP102" s="508"/>
      <c r="AQ102" s="508"/>
      <c r="AR102" s="508"/>
      <c r="AS102" s="508"/>
      <c r="AT102" s="508"/>
      <c r="AU102" s="508"/>
      <c r="AV102" s="508"/>
      <c r="AW102" s="508"/>
      <c r="AX102" s="508"/>
      <c r="AY102" s="508"/>
      <c r="AZ102" s="508"/>
      <c r="BA102" s="508"/>
      <c r="BB102" s="508"/>
      <c r="BC102" s="508"/>
      <c r="BD102" s="508"/>
      <c r="BE102" s="508"/>
      <c r="BF102" s="508"/>
      <c r="BG102" s="508"/>
      <c r="BH102" s="508"/>
      <c r="BI102" s="508"/>
      <c r="BJ102" s="508"/>
      <c r="BK102" s="509"/>
      <c r="BL102" s="57"/>
      <c r="BM102" s="55"/>
      <c r="BN102" s="507"/>
      <c r="BO102" s="508"/>
      <c r="BP102" s="508"/>
      <c r="BQ102" s="508"/>
      <c r="BR102" s="508"/>
      <c r="BS102" s="508"/>
      <c r="BT102" s="508"/>
      <c r="BU102" s="508"/>
      <c r="BV102" s="508"/>
      <c r="BW102" s="508"/>
      <c r="BX102" s="508"/>
      <c r="BY102" s="508"/>
      <c r="BZ102" s="508"/>
      <c r="CA102" s="508"/>
      <c r="CB102" s="508"/>
      <c r="CC102" s="508"/>
      <c r="CD102" s="508"/>
      <c r="CE102" s="508"/>
      <c r="CF102" s="508"/>
      <c r="CG102" s="508"/>
      <c r="CH102" s="508"/>
      <c r="CI102" s="508"/>
      <c r="CJ102" s="508"/>
      <c r="CK102" s="508"/>
      <c r="CL102" s="508"/>
      <c r="CM102" s="508"/>
      <c r="CN102" s="508"/>
      <c r="CO102" s="508"/>
      <c r="CP102" s="508"/>
      <c r="CQ102" s="509"/>
      <c r="CR102" s="57"/>
    </row>
    <row r="103" spans="1:96" ht="12" customHeight="1" x14ac:dyDescent="0.3">
      <c r="A103" s="55"/>
      <c r="B103" s="507"/>
      <c r="C103" s="508"/>
      <c r="D103" s="508"/>
      <c r="E103" s="508"/>
      <c r="F103" s="508"/>
      <c r="G103" s="508"/>
      <c r="H103" s="508"/>
      <c r="I103" s="508"/>
      <c r="J103" s="508"/>
      <c r="K103" s="508"/>
      <c r="L103" s="508"/>
      <c r="M103" s="508"/>
      <c r="N103" s="508"/>
      <c r="O103" s="508"/>
      <c r="P103" s="508"/>
      <c r="Q103" s="508"/>
      <c r="R103" s="508"/>
      <c r="S103" s="508"/>
      <c r="T103" s="508"/>
      <c r="U103" s="508"/>
      <c r="V103" s="508"/>
      <c r="W103" s="508"/>
      <c r="X103" s="508"/>
      <c r="Y103" s="508"/>
      <c r="Z103" s="508"/>
      <c r="AA103" s="508"/>
      <c r="AB103" s="508"/>
      <c r="AC103" s="508"/>
      <c r="AD103" s="508"/>
      <c r="AE103" s="509"/>
      <c r="AF103" s="57"/>
      <c r="AG103" s="55"/>
      <c r="AH103" s="507"/>
      <c r="AI103" s="508"/>
      <c r="AJ103" s="508"/>
      <c r="AK103" s="508"/>
      <c r="AL103" s="508"/>
      <c r="AM103" s="508"/>
      <c r="AN103" s="508"/>
      <c r="AO103" s="508"/>
      <c r="AP103" s="508"/>
      <c r="AQ103" s="508"/>
      <c r="AR103" s="508"/>
      <c r="AS103" s="508"/>
      <c r="AT103" s="508"/>
      <c r="AU103" s="508"/>
      <c r="AV103" s="508"/>
      <c r="AW103" s="508"/>
      <c r="AX103" s="508"/>
      <c r="AY103" s="508"/>
      <c r="AZ103" s="508"/>
      <c r="BA103" s="508"/>
      <c r="BB103" s="508"/>
      <c r="BC103" s="508"/>
      <c r="BD103" s="508"/>
      <c r="BE103" s="508"/>
      <c r="BF103" s="508"/>
      <c r="BG103" s="508"/>
      <c r="BH103" s="508"/>
      <c r="BI103" s="508"/>
      <c r="BJ103" s="508"/>
      <c r="BK103" s="509"/>
      <c r="BL103" s="57"/>
      <c r="BM103" s="55"/>
      <c r="BN103" s="507"/>
      <c r="BO103" s="508"/>
      <c r="BP103" s="508"/>
      <c r="BQ103" s="508"/>
      <c r="BR103" s="508"/>
      <c r="BS103" s="508"/>
      <c r="BT103" s="508"/>
      <c r="BU103" s="508"/>
      <c r="BV103" s="508"/>
      <c r="BW103" s="508"/>
      <c r="BX103" s="508"/>
      <c r="BY103" s="508"/>
      <c r="BZ103" s="508"/>
      <c r="CA103" s="508"/>
      <c r="CB103" s="508"/>
      <c r="CC103" s="508"/>
      <c r="CD103" s="508"/>
      <c r="CE103" s="508"/>
      <c r="CF103" s="508"/>
      <c r="CG103" s="508"/>
      <c r="CH103" s="508"/>
      <c r="CI103" s="508"/>
      <c r="CJ103" s="508"/>
      <c r="CK103" s="508"/>
      <c r="CL103" s="508"/>
      <c r="CM103" s="508"/>
      <c r="CN103" s="508"/>
      <c r="CO103" s="508"/>
      <c r="CP103" s="508"/>
      <c r="CQ103" s="509"/>
      <c r="CR103" s="57"/>
    </row>
    <row r="104" spans="1:96" ht="12" customHeight="1" x14ac:dyDescent="0.3">
      <c r="A104" s="55"/>
      <c r="B104" s="507"/>
      <c r="C104" s="508"/>
      <c r="D104" s="508"/>
      <c r="E104" s="508"/>
      <c r="F104" s="508"/>
      <c r="G104" s="508"/>
      <c r="H104" s="508"/>
      <c r="I104" s="508"/>
      <c r="J104" s="508"/>
      <c r="K104" s="508"/>
      <c r="L104" s="508"/>
      <c r="M104" s="508"/>
      <c r="N104" s="508"/>
      <c r="O104" s="508"/>
      <c r="P104" s="508"/>
      <c r="Q104" s="508"/>
      <c r="R104" s="508"/>
      <c r="S104" s="508"/>
      <c r="T104" s="508"/>
      <c r="U104" s="508"/>
      <c r="V104" s="508"/>
      <c r="W104" s="508"/>
      <c r="X104" s="508"/>
      <c r="Y104" s="508"/>
      <c r="Z104" s="508"/>
      <c r="AA104" s="508"/>
      <c r="AB104" s="508"/>
      <c r="AC104" s="508"/>
      <c r="AD104" s="508"/>
      <c r="AE104" s="509"/>
      <c r="AF104" s="57"/>
      <c r="AG104" s="55"/>
      <c r="AH104" s="507"/>
      <c r="AI104" s="508"/>
      <c r="AJ104" s="508"/>
      <c r="AK104" s="508"/>
      <c r="AL104" s="508"/>
      <c r="AM104" s="508"/>
      <c r="AN104" s="508"/>
      <c r="AO104" s="508"/>
      <c r="AP104" s="508"/>
      <c r="AQ104" s="508"/>
      <c r="AR104" s="508"/>
      <c r="AS104" s="508"/>
      <c r="AT104" s="508"/>
      <c r="AU104" s="508"/>
      <c r="AV104" s="508"/>
      <c r="AW104" s="508"/>
      <c r="AX104" s="508"/>
      <c r="AY104" s="508"/>
      <c r="AZ104" s="508"/>
      <c r="BA104" s="508"/>
      <c r="BB104" s="508"/>
      <c r="BC104" s="508"/>
      <c r="BD104" s="508"/>
      <c r="BE104" s="508"/>
      <c r="BF104" s="508"/>
      <c r="BG104" s="508"/>
      <c r="BH104" s="508"/>
      <c r="BI104" s="508"/>
      <c r="BJ104" s="508"/>
      <c r="BK104" s="509"/>
      <c r="BL104" s="57"/>
      <c r="BM104" s="55"/>
      <c r="BN104" s="507"/>
      <c r="BO104" s="508"/>
      <c r="BP104" s="508"/>
      <c r="BQ104" s="508"/>
      <c r="BR104" s="508"/>
      <c r="BS104" s="508"/>
      <c r="BT104" s="508"/>
      <c r="BU104" s="508"/>
      <c r="BV104" s="508"/>
      <c r="BW104" s="508"/>
      <c r="BX104" s="508"/>
      <c r="BY104" s="508"/>
      <c r="BZ104" s="508"/>
      <c r="CA104" s="508"/>
      <c r="CB104" s="508"/>
      <c r="CC104" s="508"/>
      <c r="CD104" s="508"/>
      <c r="CE104" s="508"/>
      <c r="CF104" s="508"/>
      <c r="CG104" s="508"/>
      <c r="CH104" s="508"/>
      <c r="CI104" s="508"/>
      <c r="CJ104" s="508"/>
      <c r="CK104" s="508"/>
      <c r="CL104" s="508"/>
      <c r="CM104" s="508"/>
      <c r="CN104" s="508"/>
      <c r="CO104" s="508"/>
      <c r="CP104" s="508"/>
      <c r="CQ104" s="509"/>
      <c r="CR104" s="57"/>
    </row>
    <row r="105" spans="1:96" ht="12" customHeight="1" x14ac:dyDescent="0.3">
      <c r="A105" s="55"/>
      <c r="B105" s="507"/>
      <c r="C105" s="508"/>
      <c r="D105" s="508"/>
      <c r="E105" s="508"/>
      <c r="F105" s="508"/>
      <c r="G105" s="508"/>
      <c r="H105" s="508"/>
      <c r="I105" s="508"/>
      <c r="J105" s="508"/>
      <c r="K105" s="508"/>
      <c r="L105" s="508"/>
      <c r="M105" s="508"/>
      <c r="N105" s="508"/>
      <c r="O105" s="508"/>
      <c r="P105" s="508"/>
      <c r="Q105" s="508"/>
      <c r="R105" s="508"/>
      <c r="S105" s="508"/>
      <c r="T105" s="508"/>
      <c r="U105" s="508"/>
      <c r="V105" s="508"/>
      <c r="W105" s="508"/>
      <c r="X105" s="508"/>
      <c r="Y105" s="508"/>
      <c r="Z105" s="508"/>
      <c r="AA105" s="508"/>
      <c r="AB105" s="508"/>
      <c r="AC105" s="508"/>
      <c r="AD105" s="508"/>
      <c r="AE105" s="509"/>
      <c r="AF105" s="57"/>
      <c r="AG105" s="55"/>
      <c r="AH105" s="507"/>
      <c r="AI105" s="508"/>
      <c r="AJ105" s="508"/>
      <c r="AK105" s="508"/>
      <c r="AL105" s="508"/>
      <c r="AM105" s="508"/>
      <c r="AN105" s="508"/>
      <c r="AO105" s="508"/>
      <c r="AP105" s="508"/>
      <c r="AQ105" s="508"/>
      <c r="AR105" s="508"/>
      <c r="AS105" s="508"/>
      <c r="AT105" s="508"/>
      <c r="AU105" s="508"/>
      <c r="AV105" s="508"/>
      <c r="AW105" s="508"/>
      <c r="AX105" s="508"/>
      <c r="AY105" s="508"/>
      <c r="AZ105" s="508"/>
      <c r="BA105" s="508"/>
      <c r="BB105" s="508"/>
      <c r="BC105" s="508"/>
      <c r="BD105" s="508"/>
      <c r="BE105" s="508"/>
      <c r="BF105" s="508"/>
      <c r="BG105" s="508"/>
      <c r="BH105" s="508"/>
      <c r="BI105" s="508"/>
      <c r="BJ105" s="508"/>
      <c r="BK105" s="509"/>
      <c r="BL105" s="57"/>
      <c r="BM105" s="55"/>
      <c r="BN105" s="507"/>
      <c r="BO105" s="508"/>
      <c r="BP105" s="508"/>
      <c r="BQ105" s="508"/>
      <c r="BR105" s="508"/>
      <c r="BS105" s="508"/>
      <c r="BT105" s="508"/>
      <c r="BU105" s="508"/>
      <c r="BV105" s="508"/>
      <c r="BW105" s="508"/>
      <c r="BX105" s="508"/>
      <c r="BY105" s="508"/>
      <c r="BZ105" s="508"/>
      <c r="CA105" s="508"/>
      <c r="CB105" s="508"/>
      <c r="CC105" s="508"/>
      <c r="CD105" s="508"/>
      <c r="CE105" s="508"/>
      <c r="CF105" s="508"/>
      <c r="CG105" s="508"/>
      <c r="CH105" s="508"/>
      <c r="CI105" s="508"/>
      <c r="CJ105" s="508"/>
      <c r="CK105" s="508"/>
      <c r="CL105" s="508"/>
      <c r="CM105" s="508"/>
      <c r="CN105" s="508"/>
      <c r="CO105" s="508"/>
      <c r="CP105" s="508"/>
      <c r="CQ105" s="509"/>
      <c r="CR105" s="57"/>
    </row>
    <row r="106" spans="1:96" ht="12" customHeight="1" x14ac:dyDescent="0.3">
      <c r="A106" s="55"/>
      <c r="B106" s="507"/>
      <c r="C106" s="508"/>
      <c r="D106" s="508"/>
      <c r="E106" s="508"/>
      <c r="F106" s="508"/>
      <c r="G106" s="508"/>
      <c r="H106" s="508"/>
      <c r="I106" s="508"/>
      <c r="J106" s="508"/>
      <c r="K106" s="508"/>
      <c r="L106" s="508"/>
      <c r="M106" s="508"/>
      <c r="N106" s="508"/>
      <c r="O106" s="508"/>
      <c r="P106" s="508"/>
      <c r="Q106" s="508"/>
      <c r="R106" s="508"/>
      <c r="S106" s="508"/>
      <c r="T106" s="508"/>
      <c r="U106" s="508"/>
      <c r="V106" s="508"/>
      <c r="W106" s="508"/>
      <c r="X106" s="508"/>
      <c r="Y106" s="508"/>
      <c r="Z106" s="508"/>
      <c r="AA106" s="508"/>
      <c r="AB106" s="508"/>
      <c r="AC106" s="508"/>
      <c r="AD106" s="508"/>
      <c r="AE106" s="509"/>
      <c r="AF106" s="57"/>
      <c r="AG106" s="55"/>
      <c r="AH106" s="507"/>
      <c r="AI106" s="508"/>
      <c r="AJ106" s="508"/>
      <c r="AK106" s="508"/>
      <c r="AL106" s="508"/>
      <c r="AM106" s="508"/>
      <c r="AN106" s="508"/>
      <c r="AO106" s="508"/>
      <c r="AP106" s="508"/>
      <c r="AQ106" s="508"/>
      <c r="AR106" s="508"/>
      <c r="AS106" s="508"/>
      <c r="AT106" s="508"/>
      <c r="AU106" s="508"/>
      <c r="AV106" s="508"/>
      <c r="AW106" s="508"/>
      <c r="AX106" s="508"/>
      <c r="AY106" s="508"/>
      <c r="AZ106" s="508"/>
      <c r="BA106" s="508"/>
      <c r="BB106" s="508"/>
      <c r="BC106" s="508"/>
      <c r="BD106" s="508"/>
      <c r="BE106" s="508"/>
      <c r="BF106" s="508"/>
      <c r="BG106" s="508"/>
      <c r="BH106" s="508"/>
      <c r="BI106" s="508"/>
      <c r="BJ106" s="508"/>
      <c r="BK106" s="509"/>
      <c r="BL106" s="57"/>
      <c r="BM106" s="55"/>
      <c r="BN106" s="507"/>
      <c r="BO106" s="508"/>
      <c r="BP106" s="508"/>
      <c r="BQ106" s="508"/>
      <c r="BR106" s="508"/>
      <c r="BS106" s="508"/>
      <c r="BT106" s="508"/>
      <c r="BU106" s="508"/>
      <c r="BV106" s="508"/>
      <c r="BW106" s="508"/>
      <c r="BX106" s="508"/>
      <c r="BY106" s="508"/>
      <c r="BZ106" s="508"/>
      <c r="CA106" s="508"/>
      <c r="CB106" s="508"/>
      <c r="CC106" s="508"/>
      <c r="CD106" s="508"/>
      <c r="CE106" s="508"/>
      <c r="CF106" s="508"/>
      <c r="CG106" s="508"/>
      <c r="CH106" s="508"/>
      <c r="CI106" s="508"/>
      <c r="CJ106" s="508"/>
      <c r="CK106" s="508"/>
      <c r="CL106" s="508"/>
      <c r="CM106" s="508"/>
      <c r="CN106" s="508"/>
      <c r="CO106" s="508"/>
      <c r="CP106" s="508"/>
      <c r="CQ106" s="509"/>
      <c r="CR106" s="57"/>
    </row>
    <row r="107" spans="1:96" ht="12" customHeight="1" x14ac:dyDescent="0.3">
      <c r="A107" s="55"/>
      <c r="B107" s="507"/>
      <c r="C107" s="508"/>
      <c r="D107" s="508"/>
      <c r="E107" s="508"/>
      <c r="F107" s="508"/>
      <c r="G107" s="508"/>
      <c r="H107" s="508"/>
      <c r="I107" s="508"/>
      <c r="J107" s="508"/>
      <c r="K107" s="508"/>
      <c r="L107" s="508"/>
      <c r="M107" s="508"/>
      <c r="N107" s="508"/>
      <c r="O107" s="508"/>
      <c r="P107" s="508"/>
      <c r="Q107" s="508"/>
      <c r="R107" s="508"/>
      <c r="S107" s="508"/>
      <c r="T107" s="508"/>
      <c r="U107" s="508"/>
      <c r="V107" s="508"/>
      <c r="W107" s="508"/>
      <c r="X107" s="508"/>
      <c r="Y107" s="508"/>
      <c r="Z107" s="508"/>
      <c r="AA107" s="508"/>
      <c r="AB107" s="508"/>
      <c r="AC107" s="508"/>
      <c r="AD107" s="508"/>
      <c r="AE107" s="509"/>
      <c r="AF107" s="57"/>
      <c r="AG107" s="55"/>
      <c r="AH107" s="507"/>
      <c r="AI107" s="508"/>
      <c r="AJ107" s="508"/>
      <c r="AK107" s="508"/>
      <c r="AL107" s="508"/>
      <c r="AM107" s="508"/>
      <c r="AN107" s="508"/>
      <c r="AO107" s="508"/>
      <c r="AP107" s="508"/>
      <c r="AQ107" s="508"/>
      <c r="AR107" s="508"/>
      <c r="AS107" s="508"/>
      <c r="AT107" s="508"/>
      <c r="AU107" s="508"/>
      <c r="AV107" s="508"/>
      <c r="AW107" s="508"/>
      <c r="AX107" s="508"/>
      <c r="AY107" s="508"/>
      <c r="AZ107" s="508"/>
      <c r="BA107" s="508"/>
      <c r="BB107" s="508"/>
      <c r="BC107" s="508"/>
      <c r="BD107" s="508"/>
      <c r="BE107" s="508"/>
      <c r="BF107" s="508"/>
      <c r="BG107" s="508"/>
      <c r="BH107" s="508"/>
      <c r="BI107" s="508"/>
      <c r="BJ107" s="508"/>
      <c r="BK107" s="509"/>
      <c r="BL107" s="57"/>
      <c r="BM107" s="55"/>
      <c r="BN107" s="507"/>
      <c r="BO107" s="508"/>
      <c r="BP107" s="508"/>
      <c r="BQ107" s="508"/>
      <c r="BR107" s="508"/>
      <c r="BS107" s="508"/>
      <c r="BT107" s="508"/>
      <c r="BU107" s="508"/>
      <c r="BV107" s="508"/>
      <c r="BW107" s="508"/>
      <c r="BX107" s="508"/>
      <c r="BY107" s="508"/>
      <c r="BZ107" s="508"/>
      <c r="CA107" s="508"/>
      <c r="CB107" s="508"/>
      <c r="CC107" s="508"/>
      <c r="CD107" s="508"/>
      <c r="CE107" s="508"/>
      <c r="CF107" s="508"/>
      <c r="CG107" s="508"/>
      <c r="CH107" s="508"/>
      <c r="CI107" s="508"/>
      <c r="CJ107" s="508"/>
      <c r="CK107" s="508"/>
      <c r="CL107" s="508"/>
      <c r="CM107" s="508"/>
      <c r="CN107" s="508"/>
      <c r="CO107" s="508"/>
      <c r="CP107" s="508"/>
      <c r="CQ107" s="509"/>
      <c r="CR107" s="57"/>
    </row>
    <row r="108" spans="1:96" ht="12" customHeight="1" x14ac:dyDescent="0.3">
      <c r="A108" s="55"/>
      <c r="B108" s="507"/>
      <c r="C108" s="508"/>
      <c r="D108" s="508"/>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508"/>
      <c r="AD108" s="508"/>
      <c r="AE108" s="509"/>
      <c r="AF108" s="57"/>
      <c r="AG108" s="55"/>
      <c r="AH108" s="507"/>
      <c r="AI108" s="508"/>
      <c r="AJ108" s="508"/>
      <c r="AK108" s="508"/>
      <c r="AL108" s="508"/>
      <c r="AM108" s="508"/>
      <c r="AN108" s="508"/>
      <c r="AO108" s="508"/>
      <c r="AP108" s="508"/>
      <c r="AQ108" s="508"/>
      <c r="AR108" s="508"/>
      <c r="AS108" s="508"/>
      <c r="AT108" s="508"/>
      <c r="AU108" s="508"/>
      <c r="AV108" s="508"/>
      <c r="AW108" s="508"/>
      <c r="AX108" s="508"/>
      <c r="AY108" s="508"/>
      <c r="AZ108" s="508"/>
      <c r="BA108" s="508"/>
      <c r="BB108" s="508"/>
      <c r="BC108" s="508"/>
      <c r="BD108" s="508"/>
      <c r="BE108" s="508"/>
      <c r="BF108" s="508"/>
      <c r="BG108" s="508"/>
      <c r="BH108" s="508"/>
      <c r="BI108" s="508"/>
      <c r="BJ108" s="508"/>
      <c r="BK108" s="509"/>
      <c r="BL108" s="57"/>
      <c r="BM108" s="55"/>
      <c r="BN108" s="507"/>
      <c r="BO108" s="508"/>
      <c r="BP108" s="508"/>
      <c r="BQ108" s="508"/>
      <c r="BR108" s="508"/>
      <c r="BS108" s="508"/>
      <c r="BT108" s="508"/>
      <c r="BU108" s="508"/>
      <c r="BV108" s="508"/>
      <c r="BW108" s="508"/>
      <c r="BX108" s="508"/>
      <c r="BY108" s="508"/>
      <c r="BZ108" s="508"/>
      <c r="CA108" s="508"/>
      <c r="CB108" s="508"/>
      <c r="CC108" s="508"/>
      <c r="CD108" s="508"/>
      <c r="CE108" s="508"/>
      <c r="CF108" s="508"/>
      <c r="CG108" s="508"/>
      <c r="CH108" s="508"/>
      <c r="CI108" s="508"/>
      <c r="CJ108" s="508"/>
      <c r="CK108" s="508"/>
      <c r="CL108" s="508"/>
      <c r="CM108" s="508"/>
      <c r="CN108" s="508"/>
      <c r="CO108" s="508"/>
      <c r="CP108" s="508"/>
      <c r="CQ108" s="509"/>
      <c r="CR108" s="57"/>
    </row>
    <row r="109" spans="1:96" ht="12" customHeight="1" x14ac:dyDescent="0.3">
      <c r="A109" s="55"/>
      <c r="B109" s="507"/>
      <c r="C109" s="508"/>
      <c r="D109" s="508"/>
      <c r="E109" s="508"/>
      <c r="F109" s="508"/>
      <c r="G109" s="508"/>
      <c r="H109" s="508"/>
      <c r="I109" s="508"/>
      <c r="J109" s="508"/>
      <c r="K109" s="508"/>
      <c r="L109" s="508"/>
      <c r="M109" s="508"/>
      <c r="N109" s="508"/>
      <c r="O109" s="508"/>
      <c r="P109" s="508"/>
      <c r="Q109" s="508"/>
      <c r="R109" s="508"/>
      <c r="S109" s="508"/>
      <c r="T109" s="508"/>
      <c r="U109" s="508"/>
      <c r="V109" s="508"/>
      <c r="W109" s="508"/>
      <c r="X109" s="508"/>
      <c r="Y109" s="508"/>
      <c r="Z109" s="508"/>
      <c r="AA109" s="508"/>
      <c r="AB109" s="508"/>
      <c r="AC109" s="508"/>
      <c r="AD109" s="508"/>
      <c r="AE109" s="509"/>
      <c r="AF109" s="57"/>
      <c r="AG109" s="55"/>
      <c r="AH109" s="507"/>
      <c r="AI109" s="508"/>
      <c r="AJ109" s="508"/>
      <c r="AK109" s="508"/>
      <c r="AL109" s="508"/>
      <c r="AM109" s="508"/>
      <c r="AN109" s="508"/>
      <c r="AO109" s="508"/>
      <c r="AP109" s="508"/>
      <c r="AQ109" s="508"/>
      <c r="AR109" s="508"/>
      <c r="AS109" s="508"/>
      <c r="AT109" s="508"/>
      <c r="AU109" s="508"/>
      <c r="AV109" s="508"/>
      <c r="AW109" s="508"/>
      <c r="AX109" s="508"/>
      <c r="AY109" s="508"/>
      <c r="AZ109" s="508"/>
      <c r="BA109" s="508"/>
      <c r="BB109" s="508"/>
      <c r="BC109" s="508"/>
      <c r="BD109" s="508"/>
      <c r="BE109" s="508"/>
      <c r="BF109" s="508"/>
      <c r="BG109" s="508"/>
      <c r="BH109" s="508"/>
      <c r="BI109" s="508"/>
      <c r="BJ109" s="508"/>
      <c r="BK109" s="509"/>
      <c r="BL109" s="57"/>
      <c r="BM109" s="55"/>
      <c r="BN109" s="507"/>
      <c r="BO109" s="508"/>
      <c r="BP109" s="508"/>
      <c r="BQ109" s="508"/>
      <c r="BR109" s="508"/>
      <c r="BS109" s="508"/>
      <c r="BT109" s="508"/>
      <c r="BU109" s="508"/>
      <c r="BV109" s="508"/>
      <c r="BW109" s="508"/>
      <c r="BX109" s="508"/>
      <c r="BY109" s="508"/>
      <c r="BZ109" s="508"/>
      <c r="CA109" s="508"/>
      <c r="CB109" s="508"/>
      <c r="CC109" s="508"/>
      <c r="CD109" s="508"/>
      <c r="CE109" s="508"/>
      <c r="CF109" s="508"/>
      <c r="CG109" s="508"/>
      <c r="CH109" s="508"/>
      <c r="CI109" s="508"/>
      <c r="CJ109" s="508"/>
      <c r="CK109" s="508"/>
      <c r="CL109" s="508"/>
      <c r="CM109" s="508"/>
      <c r="CN109" s="508"/>
      <c r="CO109" s="508"/>
      <c r="CP109" s="508"/>
      <c r="CQ109" s="509"/>
      <c r="CR109" s="57"/>
    </row>
    <row r="110" spans="1:96" ht="12" customHeight="1" x14ac:dyDescent="0.3">
      <c r="A110" s="55"/>
      <c r="B110" s="507"/>
      <c r="C110" s="508"/>
      <c r="D110" s="508"/>
      <c r="E110" s="508"/>
      <c r="F110" s="508"/>
      <c r="G110" s="508"/>
      <c r="H110" s="508"/>
      <c r="I110" s="508"/>
      <c r="J110" s="508"/>
      <c r="K110" s="508"/>
      <c r="L110" s="508"/>
      <c r="M110" s="508"/>
      <c r="N110" s="508"/>
      <c r="O110" s="508"/>
      <c r="P110" s="508"/>
      <c r="Q110" s="508"/>
      <c r="R110" s="508"/>
      <c r="S110" s="508"/>
      <c r="T110" s="508"/>
      <c r="U110" s="508"/>
      <c r="V110" s="508"/>
      <c r="W110" s="508"/>
      <c r="X110" s="508"/>
      <c r="Y110" s="508"/>
      <c r="Z110" s="508"/>
      <c r="AA110" s="508"/>
      <c r="AB110" s="508"/>
      <c r="AC110" s="508"/>
      <c r="AD110" s="508"/>
      <c r="AE110" s="509"/>
      <c r="AF110" s="57"/>
      <c r="AG110" s="55"/>
      <c r="AH110" s="507"/>
      <c r="AI110" s="508"/>
      <c r="AJ110" s="508"/>
      <c r="AK110" s="508"/>
      <c r="AL110" s="508"/>
      <c r="AM110" s="508"/>
      <c r="AN110" s="508"/>
      <c r="AO110" s="508"/>
      <c r="AP110" s="508"/>
      <c r="AQ110" s="508"/>
      <c r="AR110" s="508"/>
      <c r="AS110" s="508"/>
      <c r="AT110" s="508"/>
      <c r="AU110" s="508"/>
      <c r="AV110" s="508"/>
      <c r="AW110" s="508"/>
      <c r="AX110" s="508"/>
      <c r="AY110" s="508"/>
      <c r="AZ110" s="508"/>
      <c r="BA110" s="508"/>
      <c r="BB110" s="508"/>
      <c r="BC110" s="508"/>
      <c r="BD110" s="508"/>
      <c r="BE110" s="508"/>
      <c r="BF110" s="508"/>
      <c r="BG110" s="508"/>
      <c r="BH110" s="508"/>
      <c r="BI110" s="508"/>
      <c r="BJ110" s="508"/>
      <c r="BK110" s="509"/>
      <c r="BL110" s="57"/>
      <c r="BM110" s="55"/>
      <c r="BN110" s="507"/>
      <c r="BO110" s="508"/>
      <c r="BP110" s="508"/>
      <c r="BQ110" s="508"/>
      <c r="BR110" s="508"/>
      <c r="BS110" s="508"/>
      <c r="BT110" s="508"/>
      <c r="BU110" s="508"/>
      <c r="BV110" s="508"/>
      <c r="BW110" s="508"/>
      <c r="BX110" s="508"/>
      <c r="BY110" s="508"/>
      <c r="BZ110" s="508"/>
      <c r="CA110" s="508"/>
      <c r="CB110" s="508"/>
      <c r="CC110" s="508"/>
      <c r="CD110" s="508"/>
      <c r="CE110" s="508"/>
      <c r="CF110" s="508"/>
      <c r="CG110" s="508"/>
      <c r="CH110" s="508"/>
      <c r="CI110" s="508"/>
      <c r="CJ110" s="508"/>
      <c r="CK110" s="508"/>
      <c r="CL110" s="508"/>
      <c r="CM110" s="508"/>
      <c r="CN110" s="508"/>
      <c r="CO110" s="508"/>
      <c r="CP110" s="508"/>
      <c r="CQ110" s="509"/>
      <c r="CR110" s="57"/>
    </row>
    <row r="111" spans="1:96" ht="12" customHeight="1" x14ac:dyDescent="0.3">
      <c r="A111" s="55"/>
      <c r="B111" s="507"/>
      <c r="C111" s="508"/>
      <c r="D111" s="508"/>
      <c r="E111" s="508"/>
      <c r="F111" s="508"/>
      <c r="G111" s="508"/>
      <c r="H111" s="508"/>
      <c r="I111" s="508"/>
      <c r="J111" s="508"/>
      <c r="K111" s="508"/>
      <c r="L111" s="508"/>
      <c r="M111" s="508"/>
      <c r="N111" s="508"/>
      <c r="O111" s="508"/>
      <c r="P111" s="508"/>
      <c r="Q111" s="508"/>
      <c r="R111" s="508"/>
      <c r="S111" s="508"/>
      <c r="T111" s="508"/>
      <c r="U111" s="508"/>
      <c r="V111" s="508"/>
      <c r="W111" s="508"/>
      <c r="X111" s="508"/>
      <c r="Y111" s="508"/>
      <c r="Z111" s="508"/>
      <c r="AA111" s="508"/>
      <c r="AB111" s="508"/>
      <c r="AC111" s="508"/>
      <c r="AD111" s="508"/>
      <c r="AE111" s="509"/>
      <c r="AF111" s="57"/>
      <c r="AG111" s="55"/>
      <c r="AH111" s="507"/>
      <c r="AI111" s="508"/>
      <c r="AJ111" s="508"/>
      <c r="AK111" s="508"/>
      <c r="AL111" s="508"/>
      <c r="AM111" s="508"/>
      <c r="AN111" s="508"/>
      <c r="AO111" s="508"/>
      <c r="AP111" s="508"/>
      <c r="AQ111" s="508"/>
      <c r="AR111" s="508"/>
      <c r="AS111" s="508"/>
      <c r="AT111" s="508"/>
      <c r="AU111" s="508"/>
      <c r="AV111" s="508"/>
      <c r="AW111" s="508"/>
      <c r="AX111" s="508"/>
      <c r="AY111" s="508"/>
      <c r="AZ111" s="508"/>
      <c r="BA111" s="508"/>
      <c r="BB111" s="508"/>
      <c r="BC111" s="508"/>
      <c r="BD111" s="508"/>
      <c r="BE111" s="508"/>
      <c r="BF111" s="508"/>
      <c r="BG111" s="508"/>
      <c r="BH111" s="508"/>
      <c r="BI111" s="508"/>
      <c r="BJ111" s="508"/>
      <c r="BK111" s="509"/>
      <c r="BL111" s="57"/>
      <c r="BM111" s="55"/>
      <c r="BN111" s="507"/>
      <c r="BO111" s="508"/>
      <c r="BP111" s="508"/>
      <c r="BQ111" s="508"/>
      <c r="BR111" s="508"/>
      <c r="BS111" s="508"/>
      <c r="BT111" s="508"/>
      <c r="BU111" s="508"/>
      <c r="BV111" s="508"/>
      <c r="BW111" s="508"/>
      <c r="BX111" s="508"/>
      <c r="BY111" s="508"/>
      <c r="BZ111" s="508"/>
      <c r="CA111" s="508"/>
      <c r="CB111" s="508"/>
      <c r="CC111" s="508"/>
      <c r="CD111" s="508"/>
      <c r="CE111" s="508"/>
      <c r="CF111" s="508"/>
      <c r="CG111" s="508"/>
      <c r="CH111" s="508"/>
      <c r="CI111" s="508"/>
      <c r="CJ111" s="508"/>
      <c r="CK111" s="508"/>
      <c r="CL111" s="508"/>
      <c r="CM111" s="508"/>
      <c r="CN111" s="508"/>
      <c r="CO111" s="508"/>
      <c r="CP111" s="508"/>
      <c r="CQ111" s="509"/>
      <c r="CR111" s="57"/>
    </row>
    <row r="112" spans="1:96" ht="12" customHeight="1" x14ac:dyDescent="0.3">
      <c r="A112" s="39"/>
      <c r="B112" s="507"/>
      <c r="C112" s="508"/>
      <c r="D112" s="508"/>
      <c r="E112" s="508"/>
      <c r="F112" s="508"/>
      <c r="G112" s="508"/>
      <c r="H112" s="508"/>
      <c r="I112" s="508"/>
      <c r="J112" s="508"/>
      <c r="K112" s="508"/>
      <c r="L112" s="508"/>
      <c r="M112" s="508"/>
      <c r="N112" s="508"/>
      <c r="O112" s="508"/>
      <c r="P112" s="508"/>
      <c r="Q112" s="508"/>
      <c r="R112" s="508"/>
      <c r="S112" s="508"/>
      <c r="T112" s="508"/>
      <c r="U112" s="508"/>
      <c r="V112" s="508"/>
      <c r="W112" s="508"/>
      <c r="X112" s="508"/>
      <c r="Y112" s="508"/>
      <c r="Z112" s="508"/>
      <c r="AA112" s="508"/>
      <c r="AB112" s="508"/>
      <c r="AC112" s="508"/>
      <c r="AD112" s="508"/>
      <c r="AE112" s="509"/>
      <c r="AF112" s="49"/>
      <c r="AG112" s="39"/>
      <c r="AH112" s="507"/>
      <c r="AI112" s="508"/>
      <c r="AJ112" s="508"/>
      <c r="AK112" s="508"/>
      <c r="AL112" s="508"/>
      <c r="AM112" s="508"/>
      <c r="AN112" s="508"/>
      <c r="AO112" s="508"/>
      <c r="AP112" s="508"/>
      <c r="AQ112" s="508"/>
      <c r="AR112" s="508"/>
      <c r="AS112" s="508"/>
      <c r="AT112" s="508"/>
      <c r="AU112" s="508"/>
      <c r="AV112" s="508"/>
      <c r="AW112" s="508"/>
      <c r="AX112" s="508"/>
      <c r="AY112" s="508"/>
      <c r="AZ112" s="508"/>
      <c r="BA112" s="508"/>
      <c r="BB112" s="508"/>
      <c r="BC112" s="508"/>
      <c r="BD112" s="508"/>
      <c r="BE112" s="508"/>
      <c r="BF112" s="508"/>
      <c r="BG112" s="508"/>
      <c r="BH112" s="508"/>
      <c r="BI112" s="508"/>
      <c r="BJ112" s="508"/>
      <c r="BK112" s="509"/>
      <c r="BL112" s="49"/>
      <c r="BM112" s="39"/>
      <c r="BN112" s="507"/>
      <c r="BO112" s="508"/>
      <c r="BP112" s="508"/>
      <c r="BQ112" s="508"/>
      <c r="BR112" s="508"/>
      <c r="BS112" s="508"/>
      <c r="BT112" s="508"/>
      <c r="BU112" s="508"/>
      <c r="BV112" s="508"/>
      <c r="BW112" s="508"/>
      <c r="BX112" s="508"/>
      <c r="BY112" s="508"/>
      <c r="BZ112" s="508"/>
      <c r="CA112" s="508"/>
      <c r="CB112" s="508"/>
      <c r="CC112" s="508"/>
      <c r="CD112" s="508"/>
      <c r="CE112" s="508"/>
      <c r="CF112" s="508"/>
      <c r="CG112" s="508"/>
      <c r="CH112" s="508"/>
      <c r="CI112" s="508"/>
      <c r="CJ112" s="508"/>
      <c r="CK112" s="508"/>
      <c r="CL112" s="508"/>
      <c r="CM112" s="508"/>
      <c r="CN112" s="508"/>
      <c r="CO112" s="508"/>
      <c r="CP112" s="508"/>
      <c r="CQ112" s="509"/>
      <c r="CR112" s="49"/>
    </row>
    <row r="113" spans="1:96" ht="12" customHeight="1" x14ac:dyDescent="0.3">
      <c r="A113" s="39"/>
      <c r="B113" s="507"/>
      <c r="C113" s="508"/>
      <c r="D113" s="508"/>
      <c r="E113" s="508"/>
      <c r="F113" s="508"/>
      <c r="G113" s="508"/>
      <c r="H113" s="508"/>
      <c r="I113" s="508"/>
      <c r="J113" s="508"/>
      <c r="K113" s="508"/>
      <c r="L113" s="508"/>
      <c r="M113" s="508"/>
      <c r="N113" s="508"/>
      <c r="O113" s="508"/>
      <c r="P113" s="508"/>
      <c r="Q113" s="508"/>
      <c r="R113" s="508"/>
      <c r="S113" s="508"/>
      <c r="T113" s="508"/>
      <c r="U113" s="508"/>
      <c r="V113" s="508"/>
      <c r="W113" s="508"/>
      <c r="X113" s="508"/>
      <c r="Y113" s="508"/>
      <c r="Z113" s="508"/>
      <c r="AA113" s="508"/>
      <c r="AB113" s="508"/>
      <c r="AC113" s="508"/>
      <c r="AD113" s="508"/>
      <c r="AE113" s="509"/>
      <c r="AF113" s="49"/>
      <c r="AG113" s="39"/>
      <c r="AH113" s="507"/>
      <c r="AI113" s="508"/>
      <c r="AJ113" s="508"/>
      <c r="AK113" s="508"/>
      <c r="AL113" s="508"/>
      <c r="AM113" s="508"/>
      <c r="AN113" s="508"/>
      <c r="AO113" s="508"/>
      <c r="AP113" s="508"/>
      <c r="AQ113" s="508"/>
      <c r="AR113" s="508"/>
      <c r="AS113" s="508"/>
      <c r="AT113" s="508"/>
      <c r="AU113" s="508"/>
      <c r="AV113" s="508"/>
      <c r="AW113" s="508"/>
      <c r="AX113" s="508"/>
      <c r="AY113" s="508"/>
      <c r="AZ113" s="508"/>
      <c r="BA113" s="508"/>
      <c r="BB113" s="508"/>
      <c r="BC113" s="508"/>
      <c r="BD113" s="508"/>
      <c r="BE113" s="508"/>
      <c r="BF113" s="508"/>
      <c r="BG113" s="508"/>
      <c r="BH113" s="508"/>
      <c r="BI113" s="508"/>
      <c r="BJ113" s="508"/>
      <c r="BK113" s="509"/>
      <c r="BL113" s="49"/>
      <c r="BM113" s="39"/>
      <c r="BN113" s="507"/>
      <c r="BO113" s="508"/>
      <c r="BP113" s="508"/>
      <c r="BQ113" s="508"/>
      <c r="BR113" s="508"/>
      <c r="BS113" s="508"/>
      <c r="BT113" s="508"/>
      <c r="BU113" s="508"/>
      <c r="BV113" s="508"/>
      <c r="BW113" s="508"/>
      <c r="BX113" s="508"/>
      <c r="BY113" s="508"/>
      <c r="BZ113" s="508"/>
      <c r="CA113" s="508"/>
      <c r="CB113" s="508"/>
      <c r="CC113" s="508"/>
      <c r="CD113" s="508"/>
      <c r="CE113" s="508"/>
      <c r="CF113" s="508"/>
      <c r="CG113" s="508"/>
      <c r="CH113" s="508"/>
      <c r="CI113" s="508"/>
      <c r="CJ113" s="508"/>
      <c r="CK113" s="508"/>
      <c r="CL113" s="508"/>
      <c r="CM113" s="508"/>
      <c r="CN113" s="508"/>
      <c r="CO113" s="508"/>
      <c r="CP113" s="508"/>
      <c r="CQ113" s="509"/>
      <c r="CR113" s="49"/>
    </row>
    <row r="114" spans="1:96" ht="12" customHeight="1" x14ac:dyDescent="0.3">
      <c r="A114" s="39"/>
      <c r="B114" s="507"/>
      <c r="C114" s="508"/>
      <c r="D114" s="508"/>
      <c r="E114" s="508"/>
      <c r="F114" s="508"/>
      <c r="G114" s="508"/>
      <c r="H114" s="508"/>
      <c r="I114" s="508"/>
      <c r="J114" s="508"/>
      <c r="K114" s="508"/>
      <c r="L114" s="508"/>
      <c r="M114" s="508"/>
      <c r="N114" s="508"/>
      <c r="O114" s="508"/>
      <c r="P114" s="508"/>
      <c r="Q114" s="508"/>
      <c r="R114" s="508"/>
      <c r="S114" s="508"/>
      <c r="T114" s="508"/>
      <c r="U114" s="508"/>
      <c r="V114" s="508"/>
      <c r="W114" s="508"/>
      <c r="X114" s="508"/>
      <c r="Y114" s="508"/>
      <c r="Z114" s="508"/>
      <c r="AA114" s="508"/>
      <c r="AB114" s="508"/>
      <c r="AC114" s="508"/>
      <c r="AD114" s="508"/>
      <c r="AE114" s="509"/>
      <c r="AF114" s="49"/>
      <c r="AG114" s="39"/>
      <c r="AH114" s="507"/>
      <c r="AI114" s="508"/>
      <c r="AJ114" s="508"/>
      <c r="AK114" s="508"/>
      <c r="AL114" s="508"/>
      <c r="AM114" s="508"/>
      <c r="AN114" s="508"/>
      <c r="AO114" s="508"/>
      <c r="AP114" s="508"/>
      <c r="AQ114" s="508"/>
      <c r="AR114" s="508"/>
      <c r="AS114" s="508"/>
      <c r="AT114" s="508"/>
      <c r="AU114" s="508"/>
      <c r="AV114" s="508"/>
      <c r="AW114" s="508"/>
      <c r="AX114" s="508"/>
      <c r="AY114" s="508"/>
      <c r="AZ114" s="508"/>
      <c r="BA114" s="508"/>
      <c r="BB114" s="508"/>
      <c r="BC114" s="508"/>
      <c r="BD114" s="508"/>
      <c r="BE114" s="508"/>
      <c r="BF114" s="508"/>
      <c r="BG114" s="508"/>
      <c r="BH114" s="508"/>
      <c r="BI114" s="508"/>
      <c r="BJ114" s="508"/>
      <c r="BK114" s="509"/>
      <c r="BL114" s="49"/>
      <c r="BM114" s="39"/>
      <c r="BN114" s="507"/>
      <c r="BO114" s="508"/>
      <c r="BP114" s="508"/>
      <c r="BQ114" s="508"/>
      <c r="BR114" s="508"/>
      <c r="BS114" s="508"/>
      <c r="BT114" s="508"/>
      <c r="BU114" s="508"/>
      <c r="BV114" s="508"/>
      <c r="BW114" s="508"/>
      <c r="BX114" s="508"/>
      <c r="BY114" s="508"/>
      <c r="BZ114" s="508"/>
      <c r="CA114" s="508"/>
      <c r="CB114" s="508"/>
      <c r="CC114" s="508"/>
      <c r="CD114" s="508"/>
      <c r="CE114" s="508"/>
      <c r="CF114" s="508"/>
      <c r="CG114" s="508"/>
      <c r="CH114" s="508"/>
      <c r="CI114" s="508"/>
      <c r="CJ114" s="508"/>
      <c r="CK114" s="508"/>
      <c r="CL114" s="508"/>
      <c r="CM114" s="508"/>
      <c r="CN114" s="508"/>
      <c r="CO114" s="508"/>
      <c r="CP114" s="508"/>
      <c r="CQ114" s="509"/>
      <c r="CR114" s="49"/>
    </row>
    <row r="115" spans="1:96" ht="12" customHeight="1" x14ac:dyDescent="0.3">
      <c r="A115" s="4"/>
      <c r="B115" s="507"/>
      <c r="C115" s="508"/>
      <c r="D115" s="508"/>
      <c r="E115" s="508"/>
      <c r="F115" s="508"/>
      <c r="G115" s="508"/>
      <c r="H115" s="508"/>
      <c r="I115" s="508"/>
      <c r="J115" s="508"/>
      <c r="K115" s="508"/>
      <c r="L115" s="508"/>
      <c r="M115" s="508"/>
      <c r="N115" s="508"/>
      <c r="O115" s="508"/>
      <c r="P115" s="508"/>
      <c r="Q115" s="508"/>
      <c r="R115" s="508"/>
      <c r="S115" s="508"/>
      <c r="T115" s="508"/>
      <c r="U115" s="508"/>
      <c r="V115" s="508"/>
      <c r="W115" s="508"/>
      <c r="X115" s="508"/>
      <c r="Y115" s="508"/>
      <c r="Z115" s="508"/>
      <c r="AA115" s="508"/>
      <c r="AB115" s="508"/>
      <c r="AC115" s="508"/>
      <c r="AD115" s="508"/>
      <c r="AE115" s="509"/>
      <c r="AF115" s="5"/>
      <c r="AG115" s="4"/>
      <c r="AH115" s="507"/>
      <c r="AI115" s="508"/>
      <c r="AJ115" s="508"/>
      <c r="AK115" s="508"/>
      <c r="AL115" s="508"/>
      <c r="AM115" s="508"/>
      <c r="AN115" s="508"/>
      <c r="AO115" s="508"/>
      <c r="AP115" s="508"/>
      <c r="AQ115" s="508"/>
      <c r="AR115" s="508"/>
      <c r="AS115" s="508"/>
      <c r="AT115" s="508"/>
      <c r="AU115" s="508"/>
      <c r="AV115" s="508"/>
      <c r="AW115" s="508"/>
      <c r="AX115" s="508"/>
      <c r="AY115" s="508"/>
      <c r="AZ115" s="508"/>
      <c r="BA115" s="508"/>
      <c r="BB115" s="508"/>
      <c r="BC115" s="508"/>
      <c r="BD115" s="508"/>
      <c r="BE115" s="508"/>
      <c r="BF115" s="508"/>
      <c r="BG115" s="508"/>
      <c r="BH115" s="508"/>
      <c r="BI115" s="508"/>
      <c r="BJ115" s="508"/>
      <c r="BK115" s="509"/>
      <c r="BL115" s="5"/>
      <c r="BM115" s="4"/>
      <c r="BN115" s="507"/>
      <c r="BO115" s="508"/>
      <c r="BP115" s="508"/>
      <c r="BQ115" s="508"/>
      <c r="BR115" s="508"/>
      <c r="BS115" s="508"/>
      <c r="BT115" s="508"/>
      <c r="BU115" s="508"/>
      <c r="BV115" s="508"/>
      <c r="BW115" s="508"/>
      <c r="BX115" s="508"/>
      <c r="BY115" s="508"/>
      <c r="BZ115" s="508"/>
      <c r="CA115" s="508"/>
      <c r="CB115" s="508"/>
      <c r="CC115" s="508"/>
      <c r="CD115" s="508"/>
      <c r="CE115" s="508"/>
      <c r="CF115" s="508"/>
      <c r="CG115" s="508"/>
      <c r="CH115" s="508"/>
      <c r="CI115" s="508"/>
      <c r="CJ115" s="508"/>
      <c r="CK115" s="508"/>
      <c r="CL115" s="508"/>
      <c r="CM115" s="508"/>
      <c r="CN115" s="508"/>
      <c r="CO115" s="508"/>
      <c r="CP115" s="508"/>
      <c r="CQ115" s="509"/>
      <c r="CR115" s="5"/>
    </row>
    <row r="116" spans="1:96" ht="12" customHeight="1" x14ac:dyDescent="0.3">
      <c r="A116" s="4"/>
      <c r="B116" s="507"/>
      <c r="C116" s="508"/>
      <c r="D116" s="508"/>
      <c r="E116" s="508"/>
      <c r="F116" s="508"/>
      <c r="G116" s="508"/>
      <c r="H116" s="508"/>
      <c r="I116" s="508"/>
      <c r="J116" s="508"/>
      <c r="K116" s="508"/>
      <c r="L116" s="508"/>
      <c r="M116" s="508"/>
      <c r="N116" s="508"/>
      <c r="O116" s="508"/>
      <c r="P116" s="508"/>
      <c r="Q116" s="508"/>
      <c r="R116" s="508"/>
      <c r="S116" s="508"/>
      <c r="T116" s="508"/>
      <c r="U116" s="508"/>
      <c r="V116" s="508"/>
      <c r="W116" s="508"/>
      <c r="X116" s="508"/>
      <c r="Y116" s="508"/>
      <c r="Z116" s="508"/>
      <c r="AA116" s="508"/>
      <c r="AB116" s="508"/>
      <c r="AC116" s="508"/>
      <c r="AD116" s="508"/>
      <c r="AE116" s="509"/>
      <c r="AF116" s="5"/>
      <c r="AG116" s="4"/>
      <c r="AH116" s="507"/>
      <c r="AI116" s="508"/>
      <c r="AJ116" s="508"/>
      <c r="AK116" s="508"/>
      <c r="AL116" s="508"/>
      <c r="AM116" s="508"/>
      <c r="AN116" s="508"/>
      <c r="AO116" s="508"/>
      <c r="AP116" s="508"/>
      <c r="AQ116" s="508"/>
      <c r="AR116" s="508"/>
      <c r="AS116" s="508"/>
      <c r="AT116" s="508"/>
      <c r="AU116" s="508"/>
      <c r="AV116" s="508"/>
      <c r="AW116" s="508"/>
      <c r="AX116" s="508"/>
      <c r="AY116" s="508"/>
      <c r="AZ116" s="508"/>
      <c r="BA116" s="508"/>
      <c r="BB116" s="508"/>
      <c r="BC116" s="508"/>
      <c r="BD116" s="508"/>
      <c r="BE116" s="508"/>
      <c r="BF116" s="508"/>
      <c r="BG116" s="508"/>
      <c r="BH116" s="508"/>
      <c r="BI116" s="508"/>
      <c r="BJ116" s="508"/>
      <c r="BK116" s="509"/>
      <c r="BL116" s="5"/>
      <c r="BM116" s="4"/>
      <c r="BN116" s="507"/>
      <c r="BO116" s="508"/>
      <c r="BP116" s="508"/>
      <c r="BQ116" s="508"/>
      <c r="BR116" s="508"/>
      <c r="BS116" s="508"/>
      <c r="BT116" s="508"/>
      <c r="BU116" s="508"/>
      <c r="BV116" s="508"/>
      <c r="BW116" s="508"/>
      <c r="BX116" s="508"/>
      <c r="BY116" s="508"/>
      <c r="BZ116" s="508"/>
      <c r="CA116" s="508"/>
      <c r="CB116" s="508"/>
      <c r="CC116" s="508"/>
      <c r="CD116" s="508"/>
      <c r="CE116" s="508"/>
      <c r="CF116" s="508"/>
      <c r="CG116" s="508"/>
      <c r="CH116" s="508"/>
      <c r="CI116" s="508"/>
      <c r="CJ116" s="508"/>
      <c r="CK116" s="508"/>
      <c r="CL116" s="508"/>
      <c r="CM116" s="508"/>
      <c r="CN116" s="508"/>
      <c r="CO116" s="508"/>
      <c r="CP116" s="508"/>
      <c r="CQ116" s="509"/>
      <c r="CR116" s="5"/>
    </row>
    <row r="117" spans="1:96" ht="12" customHeight="1" x14ac:dyDescent="0.3">
      <c r="A117" s="4"/>
      <c r="B117" s="507"/>
      <c r="C117" s="508"/>
      <c r="D117" s="508"/>
      <c r="E117" s="508"/>
      <c r="F117" s="508"/>
      <c r="G117" s="508"/>
      <c r="H117" s="508"/>
      <c r="I117" s="508"/>
      <c r="J117" s="508"/>
      <c r="K117" s="508"/>
      <c r="L117" s="508"/>
      <c r="M117" s="508"/>
      <c r="N117" s="508"/>
      <c r="O117" s="508"/>
      <c r="P117" s="508"/>
      <c r="Q117" s="508"/>
      <c r="R117" s="508"/>
      <c r="S117" s="508"/>
      <c r="T117" s="508"/>
      <c r="U117" s="508"/>
      <c r="V117" s="508"/>
      <c r="W117" s="508"/>
      <c r="X117" s="508"/>
      <c r="Y117" s="508"/>
      <c r="Z117" s="508"/>
      <c r="AA117" s="508"/>
      <c r="AB117" s="508"/>
      <c r="AC117" s="508"/>
      <c r="AD117" s="508"/>
      <c r="AE117" s="509"/>
      <c r="AF117" s="5"/>
      <c r="AG117" s="4"/>
      <c r="AH117" s="507"/>
      <c r="AI117" s="508"/>
      <c r="AJ117" s="508"/>
      <c r="AK117" s="508"/>
      <c r="AL117" s="508"/>
      <c r="AM117" s="508"/>
      <c r="AN117" s="508"/>
      <c r="AO117" s="508"/>
      <c r="AP117" s="508"/>
      <c r="AQ117" s="508"/>
      <c r="AR117" s="508"/>
      <c r="AS117" s="508"/>
      <c r="AT117" s="508"/>
      <c r="AU117" s="508"/>
      <c r="AV117" s="508"/>
      <c r="AW117" s="508"/>
      <c r="AX117" s="508"/>
      <c r="AY117" s="508"/>
      <c r="AZ117" s="508"/>
      <c r="BA117" s="508"/>
      <c r="BB117" s="508"/>
      <c r="BC117" s="508"/>
      <c r="BD117" s="508"/>
      <c r="BE117" s="508"/>
      <c r="BF117" s="508"/>
      <c r="BG117" s="508"/>
      <c r="BH117" s="508"/>
      <c r="BI117" s="508"/>
      <c r="BJ117" s="508"/>
      <c r="BK117" s="509"/>
      <c r="BL117" s="5"/>
      <c r="BM117" s="4"/>
      <c r="BN117" s="507"/>
      <c r="BO117" s="508"/>
      <c r="BP117" s="508"/>
      <c r="BQ117" s="508"/>
      <c r="BR117" s="508"/>
      <c r="BS117" s="508"/>
      <c r="BT117" s="508"/>
      <c r="BU117" s="508"/>
      <c r="BV117" s="508"/>
      <c r="BW117" s="508"/>
      <c r="BX117" s="508"/>
      <c r="BY117" s="508"/>
      <c r="BZ117" s="508"/>
      <c r="CA117" s="508"/>
      <c r="CB117" s="508"/>
      <c r="CC117" s="508"/>
      <c r="CD117" s="508"/>
      <c r="CE117" s="508"/>
      <c r="CF117" s="508"/>
      <c r="CG117" s="508"/>
      <c r="CH117" s="508"/>
      <c r="CI117" s="508"/>
      <c r="CJ117" s="508"/>
      <c r="CK117" s="508"/>
      <c r="CL117" s="508"/>
      <c r="CM117" s="508"/>
      <c r="CN117" s="508"/>
      <c r="CO117" s="508"/>
      <c r="CP117" s="508"/>
      <c r="CQ117" s="509"/>
      <c r="CR117" s="5"/>
    </row>
    <row r="118" spans="1:96" ht="12" customHeight="1" x14ac:dyDescent="0.3">
      <c r="A118" s="4"/>
      <c r="B118" s="507"/>
      <c r="C118" s="508"/>
      <c r="D118" s="508"/>
      <c r="E118" s="508"/>
      <c r="F118" s="508"/>
      <c r="G118" s="508"/>
      <c r="H118" s="508"/>
      <c r="I118" s="508"/>
      <c r="J118" s="508"/>
      <c r="K118" s="508"/>
      <c r="L118" s="508"/>
      <c r="M118" s="508"/>
      <c r="N118" s="508"/>
      <c r="O118" s="508"/>
      <c r="P118" s="508"/>
      <c r="Q118" s="508"/>
      <c r="R118" s="508"/>
      <c r="S118" s="508"/>
      <c r="T118" s="508"/>
      <c r="U118" s="508"/>
      <c r="V118" s="508"/>
      <c r="W118" s="508"/>
      <c r="X118" s="508"/>
      <c r="Y118" s="508"/>
      <c r="Z118" s="508"/>
      <c r="AA118" s="508"/>
      <c r="AB118" s="508"/>
      <c r="AC118" s="508"/>
      <c r="AD118" s="508"/>
      <c r="AE118" s="509"/>
      <c r="AF118" s="5"/>
      <c r="AG118" s="4"/>
      <c r="AH118" s="507"/>
      <c r="AI118" s="508"/>
      <c r="AJ118" s="508"/>
      <c r="AK118" s="508"/>
      <c r="AL118" s="508"/>
      <c r="AM118" s="508"/>
      <c r="AN118" s="508"/>
      <c r="AO118" s="508"/>
      <c r="AP118" s="508"/>
      <c r="AQ118" s="508"/>
      <c r="AR118" s="508"/>
      <c r="AS118" s="508"/>
      <c r="AT118" s="508"/>
      <c r="AU118" s="508"/>
      <c r="AV118" s="508"/>
      <c r="AW118" s="508"/>
      <c r="AX118" s="508"/>
      <c r="AY118" s="508"/>
      <c r="AZ118" s="508"/>
      <c r="BA118" s="508"/>
      <c r="BB118" s="508"/>
      <c r="BC118" s="508"/>
      <c r="BD118" s="508"/>
      <c r="BE118" s="508"/>
      <c r="BF118" s="508"/>
      <c r="BG118" s="508"/>
      <c r="BH118" s="508"/>
      <c r="BI118" s="508"/>
      <c r="BJ118" s="508"/>
      <c r="BK118" s="509"/>
      <c r="BL118" s="5"/>
      <c r="BM118" s="4"/>
      <c r="BN118" s="507"/>
      <c r="BO118" s="508"/>
      <c r="BP118" s="508"/>
      <c r="BQ118" s="508"/>
      <c r="BR118" s="508"/>
      <c r="BS118" s="508"/>
      <c r="BT118" s="508"/>
      <c r="BU118" s="508"/>
      <c r="BV118" s="508"/>
      <c r="BW118" s="508"/>
      <c r="BX118" s="508"/>
      <c r="BY118" s="508"/>
      <c r="BZ118" s="508"/>
      <c r="CA118" s="508"/>
      <c r="CB118" s="508"/>
      <c r="CC118" s="508"/>
      <c r="CD118" s="508"/>
      <c r="CE118" s="508"/>
      <c r="CF118" s="508"/>
      <c r="CG118" s="508"/>
      <c r="CH118" s="508"/>
      <c r="CI118" s="508"/>
      <c r="CJ118" s="508"/>
      <c r="CK118" s="508"/>
      <c r="CL118" s="508"/>
      <c r="CM118" s="508"/>
      <c r="CN118" s="508"/>
      <c r="CO118" s="508"/>
      <c r="CP118" s="508"/>
      <c r="CQ118" s="509"/>
      <c r="CR118" s="5"/>
    </row>
    <row r="119" spans="1:96" ht="12" customHeight="1" x14ac:dyDescent="0.3">
      <c r="A119" s="4"/>
      <c r="B119" s="507"/>
      <c r="C119" s="508"/>
      <c r="D119" s="508"/>
      <c r="E119" s="508"/>
      <c r="F119" s="508"/>
      <c r="G119" s="508"/>
      <c r="H119" s="508"/>
      <c r="I119" s="508"/>
      <c r="J119" s="508"/>
      <c r="K119" s="508"/>
      <c r="L119" s="508"/>
      <c r="M119" s="508"/>
      <c r="N119" s="508"/>
      <c r="O119" s="508"/>
      <c r="P119" s="508"/>
      <c r="Q119" s="508"/>
      <c r="R119" s="508"/>
      <c r="S119" s="508"/>
      <c r="T119" s="508"/>
      <c r="U119" s="508"/>
      <c r="V119" s="508"/>
      <c r="W119" s="508"/>
      <c r="X119" s="508"/>
      <c r="Y119" s="508"/>
      <c r="Z119" s="508"/>
      <c r="AA119" s="508"/>
      <c r="AB119" s="508"/>
      <c r="AC119" s="508"/>
      <c r="AD119" s="508"/>
      <c r="AE119" s="509"/>
      <c r="AF119" s="5"/>
      <c r="AG119" s="4"/>
      <c r="AH119" s="507"/>
      <c r="AI119" s="508"/>
      <c r="AJ119" s="508"/>
      <c r="AK119" s="508"/>
      <c r="AL119" s="508"/>
      <c r="AM119" s="508"/>
      <c r="AN119" s="508"/>
      <c r="AO119" s="508"/>
      <c r="AP119" s="508"/>
      <c r="AQ119" s="508"/>
      <c r="AR119" s="508"/>
      <c r="AS119" s="508"/>
      <c r="AT119" s="508"/>
      <c r="AU119" s="508"/>
      <c r="AV119" s="508"/>
      <c r="AW119" s="508"/>
      <c r="AX119" s="508"/>
      <c r="AY119" s="508"/>
      <c r="AZ119" s="508"/>
      <c r="BA119" s="508"/>
      <c r="BB119" s="508"/>
      <c r="BC119" s="508"/>
      <c r="BD119" s="508"/>
      <c r="BE119" s="508"/>
      <c r="BF119" s="508"/>
      <c r="BG119" s="508"/>
      <c r="BH119" s="508"/>
      <c r="BI119" s="508"/>
      <c r="BJ119" s="508"/>
      <c r="BK119" s="509"/>
      <c r="BL119" s="5"/>
      <c r="BM119" s="4"/>
      <c r="BN119" s="507"/>
      <c r="BO119" s="508"/>
      <c r="BP119" s="508"/>
      <c r="BQ119" s="508"/>
      <c r="BR119" s="508"/>
      <c r="BS119" s="508"/>
      <c r="BT119" s="508"/>
      <c r="BU119" s="508"/>
      <c r="BV119" s="508"/>
      <c r="BW119" s="508"/>
      <c r="BX119" s="508"/>
      <c r="BY119" s="508"/>
      <c r="BZ119" s="508"/>
      <c r="CA119" s="508"/>
      <c r="CB119" s="508"/>
      <c r="CC119" s="508"/>
      <c r="CD119" s="508"/>
      <c r="CE119" s="508"/>
      <c r="CF119" s="508"/>
      <c r="CG119" s="508"/>
      <c r="CH119" s="508"/>
      <c r="CI119" s="508"/>
      <c r="CJ119" s="508"/>
      <c r="CK119" s="508"/>
      <c r="CL119" s="508"/>
      <c r="CM119" s="508"/>
      <c r="CN119" s="508"/>
      <c r="CO119" s="508"/>
      <c r="CP119" s="508"/>
      <c r="CQ119" s="509"/>
      <c r="CR119" s="5"/>
    </row>
    <row r="120" spans="1:96" ht="12" customHeight="1" x14ac:dyDescent="0.3">
      <c r="A120" s="4"/>
      <c r="B120" s="507"/>
      <c r="C120" s="508"/>
      <c r="D120" s="508"/>
      <c r="E120" s="508"/>
      <c r="F120" s="508"/>
      <c r="G120" s="508"/>
      <c r="H120" s="508"/>
      <c r="I120" s="508"/>
      <c r="J120" s="508"/>
      <c r="K120" s="508"/>
      <c r="L120" s="508"/>
      <c r="M120" s="508"/>
      <c r="N120" s="508"/>
      <c r="O120" s="508"/>
      <c r="P120" s="508"/>
      <c r="Q120" s="508"/>
      <c r="R120" s="508"/>
      <c r="S120" s="508"/>
      <c r="T120" s="508"/>
      <c r="U120" s="508"/>
      <c r="V120" s="508"/>
      <c r="W120" s="508"/>
      <c r="X120" s="508"/>
      <c r="Y120" s="508"/>
      <c r="Z120" s="508"/>
      <c r="AA120" s="508"/>
      <c r="AB120" s="508"/>
      <c r="AC120" s="508"/>
      <c r="AD120" s="508"/>
      <c r="AE120" s="509"/>
      <c r="AF120" s="5"/>
      <c r="AG120" s="4"/>
      <c r="AH120" s="507"/>
      <c r="AI120" s="508"/>
      <c r="AJ120" s="508"/>
      <c r="AK120" s="508"/>
      <c r="AL120" s="508"/>
      <c r="AM120" s="508"/>
      <c r="AN120" s="508"/>
      <c r="AO120" s="508"/>
      <c r="AP120" s="508"/>
      <c r="AQ120" s="508"/>
      <c r="AR120" s="508"/>
      <c r="AS120" s="508"/>
      <c r="AT120" s="508"/>
      <c r="AU120" s="508"/>
      <c r="AV120" s="508"/>
      <c r="AW120" s="508"/>
      <c r="AX120" s="508"/>
      <c r="AY120" s="508"/>
      <c r="AZ120" s="508"/>
      <c r="BA120" s="508"/>
      <c r="BB120" s="508"/>
      <c r="BC120" s="508"/>
      <c r="BD120" s="508"/>
      <c r="BE120" s="508"/>
      <c r="BF120" s="508"/>
      <c r="BG120" s="508"/>
      <c r="BH120" s="508"/>
      <c r="BI120" s="508"/>
      <c r="BJ120" s="508"/>
      <c r="BK120" s="509"/>
      <c r="BL120" s="5"/>
      <c r="BM120" s="4"/>
      <c r="BN120" s="507"/>
      <c r="BO120" s="508"/>
      <c r="BP120" s="508"/>
      <c r="BQ120" s="508"/>
      <c r="BR120" s="508"/>
      <c r="BS120" s="508"/>
      <c r="BT120" s="508"/>
      <c r="BU120" s="508"/>
      <c r="BV120" s="508"/>
      <c r="BW120" s="508"/>
      <c r="BX120" s="508"/>
      <c r="BY120" s="508"/>
      <c r="BZ120" s="508"/>
      <c r="CA120" s="508"/>
      <c r="CB120" s="508"/>
      <c r="CC120" s="508"/>
      <c r="CD120" s="508"/>
      <c r="CE120" s="508"/>
      <c r="CF120" s="508"/>
      <c r="CG120" s="508"/>
      <c r="CH120" s="508"/>
      <c r="CI120" s="508"/>
      <c r="CJ120" s="508"/>
      <c r="CK120" s="508"/>
      <c r="CL120" s="508"/>
      <c r="CM120" s="508"/>
      <c r="CN120" s="508"/>
      <c r="CO120" s="508"/>
      <c r="CP120" s="508"/>
      <c r="CQ120" s="509"/>
      <c r="CR120" s="5"/>
    </row>
    <row r="121" spans="1:96" ht="12" customHeight="1" x14ac:dyDescent="0.3">
      <c r="A121" s="4"/>
      <c r="B121" s="507"/>
      <c r="C121" s="508"/>
      <c r="D121" s="508"/>
      <c r="E121" s="508"/>
      <c r="F121" s="508"/>
      <c r="G121" s="508"/>
      <c r="H121" s="508"/>
      <c r="I121" s="508"/>
      <c r="J121" s="508"/>
      <c r="K121" s="508"/>
      <c r="L121" s="508"/>
      <c r="M121" s="508"/>
      <c r="N121" s="508"/>
      <c r="O121" s="508"/>
      <c r="P121" s="508"/>
      <c r="Q121" s="508"/>
      <c r="R121" s="508"/>
      <c r="S121" s="508"/>
      <c r="T121" s="508"/>
      <c r="U121" s="508"/>
      <c r="V121" s="508"/>
      <c r="W121" s="508"/>
      <c r="X121" s="508"/>
      <c r="Y121" s="508"/>
      <c r="Z121" s="508"/>
      <c r="AA121" s="508"/>
      <c r="AB121" s="508"/>
      <c r="AC121" s="508"/>
      <c r="AD121" s="508"/>
      <c r="AE121" s="509"/>
      <c r="AF121" s="5"/>
      <c r="AG121" s="4"/>
      <c r="AH121" s="507"/>
      <c r="AI121" s="508"/>
      <c r="AJ121" s="508"/>
      <c r="AK121" s="508"/>
      <c r="AL121" s="508"/>
      <c r="AM121" s="508"/>
      <c r="AN121" s="508"/>
      <c r="AO121" s="508"/>
      <c r="AP121" s="508"/>
      <c r="AQ121" s="508"/>
      <c r="AR121" s="508"/>
      <c r="AS121" s="508"/>
      <c r="AT121" s="508"/>
      <c r="AU121" s="508"/>
      <c r="AV121" s="508"/>
      <c r="AW121" s="508"/>
      <c r="AX121" s="508"/>
      <c r="AY121" s="508"/>
      <c r="AZ121" s="508"/>
      <c r="BA121" s="508"/>
      <c r="BB121" s="508"/>
      <c r="BC121" s="508"/>
      <c r="BD121" s="508"/>
      <c r="BE121" s="508"/>
      <c r="BF121" s="508"/>
      <c r="BG121" s="508"/>
      <c r="BH121" s="508"/>
      <c r="BI121" s="508"/>
      <c r="BJ121" s="508"/>
      <c r="BK121" s="509"/>
      <c r="BL121" s="5"/>
      <c r="BM121" s="4"/>
      <c r="BN121" s="507"/>
      <c r="BO121" s="508"/>
      <c r="BP121" s="508"/>
      <c r="BQ121" s="508"/>
      <c r="BR121" s="508"/>
      <c r="BS121" s="508"/>
      <c r="BT121" s="508"/>
      <c r="BU121" s="508"/>
      <c r="BV121" s="508"/>
      <c r="BW121" s="508"/>
      <c r="BX121" s="508"/>
      <c r="BY121" s="508"/>
      <c r="BZ121" s="508"/>
      <c r="CA121" s="508"/>
      <c r="CB121" s="508"/>
      <c r="CC121" s="508"/>
      <c r="CD121" s="508"/>
      <c r="CE121" s="508"/>
      <c r="CF121" s="508"/>
      <c r="CG121" s="508"/>
      <c r="CH121" s="508"/>
      <c r="CI121" s="508"/>
      <c r="CJ121" s="508"/>
      <c r="CK121" s="508"/>
      <c r="CL121" s="508"/>
      <c r="CM121" s="508"/>
      <c r="CN121" s="508"/>
      <c r="CO121" s="508"/>
      <c r="CP121" s="508"/>
      <c r="CQ121" s="509"/>
      <c r="CR121" s="5"/>
    </row>
    <row r="122" spans="1:96" ht="12" customHeight="1" x14ac:dyDescent="0.3">
      <c r="A122" s="4"/>
      <c r="B122" s="507"/>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8"/>
      <c r="Z122" s="508"/>
      <c r="AA122" s="508"/>
      <c r="AB122" s="508"/>
      <c r="AC122" s="508"/>
      <c r="AD122" s="508"/>
      <c r="AE122" s="509"/>
      <c r="AF122" s="5"/>
      <c r="AG122" s="4"/>
      <c r="AH122" s="507"/>
      <c r="AI122" s="508"/>
      <c r="AJ122" s="508"/>
      <c r="AK122" s="508"/>
      <c r="AL122" s="508"/>
      <c r="AM122" s="508"/>
      <c r="AN122" s="508"/>
      <c r="AO122" s="508"/>
      <c r="AP122" s="508"/>
      <c r="AQ122" s="508"/>
      <c r="AR122" s="508"/>
      <c r="AS122" s="508"/>
      <c r="AT122" s="508"/>
      <c r="AU122" s="508"/>
      <c r="AV122" s="508"/>
      <c r="AW122" s="508"/>
      <c r="AX122" s="508"/>
      <c r="AY122" s="508"/>
      <c r="AZ122" s="508"/>
      <c r="BA122" s="508"/>
      <c r="BB122" s="508"/>
      <c r="BC122" s="508"/>
      <c r="BD122" s="508"/>
      <c r="BE122" s="508"/>
      <c r="BF122" s="508"/>
      <c r="BG122" s="508"/>
      <c r="BH122" s="508"/>
      <c r="BI122" s="508"/>
      <c r="BJ122" s="508"/>
      <c r="BK122" s="509"/>
      <c r="BL122" s="5"/>
      <c r="BM122" s="4"/>
      <c r="BN122" s="507"/>
      <c r="BO122" s="508"/>
      <c r="BP122" s="508"/>
      <c r="BQ122" s="508"/>
      <c r="BR122" s="508"/>
      <c r="BS122" s="508"/>
      <c r="BT122" s="508"/>
      <c r="BU122" s="508"/>
      <c r="BV122" s="508"/>
      <c r="BW122" s="508"/>
      <c r="BX122" s="508"/>
      <c r="BY122" s="508"/>
      <c r="BZ122" s="508"/>
      <c r="CA122" s="508"/>
      <c r="CB122" s="508"/>
      <c r="CC122" s="508"/>
      <c r="CD122" s="508"/>
      <c r="CE122" s="508"/>
      <c r="CF122" s="508"/>
      <c r="CG122" s="508"/>
      <c r="CH122" s="508"/>
      <c r="CI122" s="508"/>
      <c r="CJ122" s="508"/>
      <c r="CK122" s="508"/>
      <c r="CL122" s="508"/>
      <c r="CM122" s="508"/>
      <c r="CN122" s="508"/>
      <c r="CO122" s="508"/>
      <c r="CP122" s="508"/>
      <c r="CQ122" s="509"/>
      <c r="CR122" s="5"/>
    </row>
    <row r="123" spans="1:96" ht="12" customHeight="1" x14ac:dyDescent="0.3">
      <c r="A123" s="4"/>
      <c r="B123" s="507"/>
      <c r="C123" s="508"/>
      <c r="D123" s="508"/>
      <c r="E123" s="508"/>
      <c r="F123" s="508"/>
      <c r="G123" s="508"/>
      <c r="H123" s="508"/>
      <c r="I123" s="508"/>
      <c r="J123" s="508"/>
      <c r="K123" s="508"/>
      <c r="L123" s="508"/>
      <c r="M123" s="508"/>
      <c r="N123" s="508"/>
      <c r="O123" s="508"/>
      <c r="P123" s="508"/>
      <c r="Q123" s="508"/>
      <c r="R123" s="508"/>
      <c r="S123" s="508"/>
      <c r="T123" s="508"/>
      <c r="U123" s="508"/>
      <c r="V123" s="508"/>
      <c r="W123" s="508"/>
      <c r="X123" s="508"/>
      <c r="Y123" s="508"/>
      <c r="Z123" s="508"/>
      <c r="AA123" s="508"/>
      <c r="AB123" s="508"/>
      <c r="AC123" s="508"/>
      <c r="AD123" s="508"/>
      <c r="AE123" s="509"/>
      <c r="AF123" s="5"/>
      <c r="AG123" s="4"/>
      <c r="AH123" s="507"/>
      <c r="AI123" s="508"/>
      <c r="AJ123" s="508"/>
      <c r="AK123" s="508"/>
      <c r="AL123" s="508"/>
      <c r="AM123" s="508"/>
      <c r="AN123" s="508"/>
      <c r="AO123" s="508"/>
      <c r="AP123" s="508"/>
      <c r="AQ123" s="508"/>
      <c r="AR123" s="508"/>
      <c r="AS123" s="508"/>
      <c r="AT123" s="508"/>
      <c r="AU123" s="508"/>
      <c r="AV123" s="508"/>
      <c r="AW123" s="508"/>
      <c r="AX123" s="508"/>
      <c r="AY123" s="508"/>
      <c r="AZ123" s="508"/>
      <c r="BA123" s="508"/>
      <c r="BB123" s="508"/>
      <c r="BC123" s="508"/>
      <c r="BD123" s="508"/>
      <c r="BE123" s="508"/>
      <c r="BF123" s="508"/>
      <c r="BG123" s="508"/>
      <c r="BH123" s="508"/>
      <c r="BI123" s="508"/>
      <c r="BJ123" s="508"/>
      <c r="BK123" s="509"/>
      <c r="BL123" s="5"/>
      <c r="BM123" s="4"/>
      <c r="BN123" s="507"/>
      <c r="BO123" s="508"/>
      <c r="BP123" s="508"/>
      <c r="BQ123" s="508"/>
      <c r="BR123" s="508"/>
      <c r="BS123" s="508"/>
      <c r="BT123" s="508"/>
      <c r="BU123" s="508"/>
      <c r="BV123" s="508"/>
      <c r="BW123" s="508"/>
      <c r="BX123" s="508"/>
      <c r="BY123" s="508"/>
      <c r="BZ123" s="508"/>
      <c r="CA123" s="508"/>
      <c r="CB123" s="508"/>
      <c r="CC123" s="508"/>
      <c r="CD123" s="508"/>
      <c r="CE123" s="508"/>
      <c r="CF123" s="508"/>
      <c r="CG123" s="508"/>
      <c r="CH123" s="508"/>
      <c r="CI123" s="508"/>
      <c r="CJ123" s="508"/>
      <c r="CK123" s="508"/>
      <c r="CL123" s="508"/>
      <c r="CM123" s="508"/>
      <c r="CN123" s="508"/>
      <c r="CO123" s="508"/>
      <c r="CP123" s="508"/>
      <c r="CQ123" s="509"/>
      <c r="CR123" s="5"/>
    </row>
    <row r="124" spans="1:96" ht="12" customHeight="1" x14ac:dyDescent="0.3">
      <c r="A124" s="4"/>
      <c r="B124" s="507"/>
      <c r="C124" s="508"/>
      <c r="D124" s="508"/>
      <c r="E124" s="508"/>
      <c r="F124" s="508"/>
      <c r="G124" s="508"/>
      <c r="H124" s="508"/>
      <c r="I124" s="508"/>
      <c r="J124" s="508"/>
      <c r="K124" s="508"/>
      <c r="L124" s="508"/>
      <c r="M124" s="508"/>
      <c r="N124" s="508"/>
      <c r="O124" s="508"/>
      <c r="P124" s="508"/>
      <c r="Q124" s="508"/>
      <c r="R124" s="508"/>
      <c r="S124" s="508"/>
      <c r="T124" s="508"/>
      <c r="U124" s="508"/>
      <c r="V124" s="508"/>
      <c r="W124" s="508"/>
      <c r="X124" s="508"/>
      <c r="Y124" s="508"/>
      <c r="Z124" s="508"/>
      <c r="AA124" s="508"/>
      <c r="AB124" s="508"/>
      <c r="AC124" s="508"/>
      <c r="AD124" s="508"/>
      <c r="AE124" s="509"/>
      <c r="AF124" s="5"/>
      <c r="AG124" s="4"/>
      <c r="AH124" s="507"/>
      <c r="AI124" s="508"/>
      <c r="AJ124" s="508"/>
      <c r="AK124" s="508"/>
      <c r="AL124" s="508"/>
      <c r="AM124" s="508"/>
      <c r="AN124" s="508"/>
      <c r="AO124" s="508"/>
      <c r="AP124" s="508"/>
      <c r="AQ124" s="508"/>
      <c r="AR124" s="508"/>
      <c r="AS124" s="508"/>
      <c r="AT124" s="508"/>
      <c r="AU124" s="508"/>
      <c r="AV124" s="508"/>
      <c r="AW124" s="508"/>
      <c r="AX124" s="508"/>
      <c r="AY124" s="508"/>
      <c r="AZ124" s="508"/>
      <c r="BA124" s="508"/>
      <c r="BB124" s="508"/>
      <c r="BC124" s="508"/>
      <c r="BD124" s="508"/>
      <c r="BE124" s="508"/>
      <c r="BF124" s="508"/>
      <c r="BG124" s="508"/>
      <c r="BH124" s="508"/>
      <c r="BI124" s="508"/>
      <c r="BJ124" s="508"/>
      <c r="BK124" s="509"/>
      <c r="BL124" s="5"/>
      <c r="BM124" s="4"/>
      <c r="BN124" s="507"/>
      <c r="BO124" s="508"/>
      <c r="BP124" s="508"/>
      <c r="BQ124" s="508"/>
      <c r="BR124" s="508"/>
      <c r="BS124" s="508"/>
      <c r="BT124" s="508"/>
      <c r="BU124" s="508"/>
      <c r="BV124" s="508"/>
      <c r="BW124" s="508"/>
      <c r="BX124" s="508"/>
      <c r="BY124" s="508"/>
      <c r="BZ124" s="508"/>
      <c r="CA124" s="508"/>
      <c r="CB124" s="508"/>
      <c r="CC124" s="508"/>
      <c r="CD124" s="508"/>
      <c r="CE124" s="508"/>
      <c r="CF124" s="508"/>
      <c r="CG124" s="508"/>
      <c r="CH124" s="508"/>
      <c r="CI124" s="508"/>
      <c r="CJ124" s="508"/>
      <c r="CK124" s="508"/>
      <c r="CL124" s="508"/>
      <c r="CM124" s="508"/>
      <c r="CN124" s="508"/>
      <c r="CO124" s="508"/>
      <c r="CP124" s="508"/>
      <c r="CQ124" s="509"/>
      <c r="CR124" s="5"/>
    </row>
    <row r="125" spans="1:96" ht="12" customHeight="1" x14ac:dyDescent="0.3">
      <c r="A125" s="4"/>
      <c r="B125" s="507"/>
      <c r="C125" s="508"/>
      <c r="D125" s="508"/>
      <c r="E125" s="508"/>
      <c r="F125" s="508"/>
      <c r="G125" s="508"/>
      <c r="H125" s="508"/>
      <c r="I125" s="508"/>
      <c r="J125" s="508"/>
      <c r="K125" s="508"/>
      <c r="L125" s="508"/>
      <c r="M125" s="508"/>
      <c r="N125" s="508"/>
      <c r="O125" s="508"/>
      <c r="P125" s="508"/>
      <c r="Q125" s="508"/>
      <c r="R125" s="508"/>
      <c r="S125" s="508"/>
      <c r="T125" s="508"/>
      <c r="U125" s="508"/>
      <c r="V125" s="508"/>
      <c r="W125" s="508"/>
      <c r="X125" s="508"/>
      <c r="Y125" s="508"/>
      <c r="Z125" s="508"/>
      <c r="AA125" s="508"/>
      <c r="AB125" s="508"/>
      <c r="AC125" s="508"/>
      <c r="AD125" s="508"/>
      <c r="AE125" s="509"/>
      <c r="AF125" s="5"/>
      <c r="AG125" s="4"/>
      <c r="AH125" s="507"/>
      <c r="AI125" s="508"/>
      <c r="AJ125" s="508"/>
      <c r="AK125" s="508"/>
      <c r="AL125" s="508"/>
      <c r="AM125" s="508"/>
      <c r="AN125" s="508"/>
      <c r="AO125" s="508"/>
      <c r="AP125" s="508"/>
      <c r="AQ125" s="508"/>
      <c r="AR125" s="508"/>
      <c r="AS125" s="508"/>
      <c r="AT125" s="508"/>
      <c r="AU125" s="508"/>
      <c r="AV125" s="508"/>
      <c r="AW125" s="508"/>
      <c r="AX125" s="508"/>
      <c r="AY125" s="508"/>
      <c r="AZ125" s="508"/>
      <c r="BA125" s="508"/>
      <c r="BB125" s="508"/>
      <c r="BC125" s="508"/>
      <c r="BD125" s="508"/>
      <c r="BE125" s="508"/>
      <c r="BF125" s="508"/>
      <c r="BG125" s="508"/>
      <c r="BH125" s="508"/>
      <c r="BI125" s="508"/>
      <c r="BJ125" s="508"/>
      <c r="BK125" s="509"/>
      <c r="BL125" s="5"/>
      <c r="BM125" s="4"/>
      <c r="BN125" s="507"/>
      <c r="BO125" s="508"/>
      <c r="BP125" s="508"/>
      <c r="BQ125" s="508"/>
      <c r="BR125" s="508"/>
      <c r="BS125" s="508"/>
      <c r="BT125" s="508"/>
      <c r="BU125" s="508"/>
      <c r="BV125" s="508"/>
      <c r="BW125" s="508"/>
      <c r="BX125" s="508"/>
      <c r="BY125" s="508"/>
      <c r="BZ125" s="508"/>
      <c r="CA125" s="508"/>
      <c r="CB125" s="508"/>
      <c r="CC125" s="508"/>
      <c r="CD125" s="508"/>
      <c r="CE125" s="508"/>
      <c r="CF125" s="508"/>
      <c r="CG125" s="508"/>
      <c r="CH125" s="508"/>
      <c r="CI125" s="508"/>
      <c r="CJ125" s="508"/>
      <c r="CK125" s="508"/>
      <c r="CL125" s="508"/>
      <c r="CM125" s="508"/>
      <c r="CN125" s="508"/>
      <c r="CO125" s="508"/>
      <c r="CP125" s="508"/>
      <c r="CQ125" s="509"/>
      <c r="CR125" s="5"/>
    </row>
    <row r="126" spans="1:96" ht="12" customHeight="1" x14ac:dyDescent="0.3">
      <c r="A126" s="4"/>
      <c r="B126" s="507"/>
      <c r="C126" s="508"/>
      <c r="D126" s="508"/>
      <c r="E126" s="508"/>
      <c r="F126" s="508"/>
      <c r="G126" s="508"/>
      <c r="H126" s="508"/>
      <c r="I126" s="508"/>
      <c r="J126" s="508"/>
      <c r="K126" s="508"/>
      <c r="L126" s="508"/>
      <c r="M126" s="508"/>
      <c r="N126" s="508"/>
      <c r="O126" s="508"/>
      <c r="P126" s="508"/>
      <c r="Q126" s="508"/>
      <c r="R126" s="508"/>
      <c r="S126" s="508"/>
      <c r="T126" s="508"/>
      <c r="U126" s="508"/>
      <c r="V126" s="508"/>
      <c r="W126" s="508"/>
      <c r="X126" s="508"/>
      <c r="Y126" s="508"/>
      <c r="Z126" s="508"/>
      <c r="AA126" s="508"/>
      <c r="AB126" s="508"/>
      <c r="AC126" s="508"/>
      <c r="AD126" s="508"/>
      <c r="AE126" s="509"/>
      <c r="AF126" s="5"/>
      <c r="AG126" s="4"/>
      <c r="AH126" s="507"/>
      <c r="AI126" s="508"/>
      <c r="AJ126" s="508"/>
      <c r="AK126" s="508"/>
      <c r="AL126" s="508"/>
      <c r="AM126" s="508"/>
      <c r="AN126" s="508"/>
      <c r="AO126" s="508"/>
      <c r="AP126" s="508"/>
      <c r="AQ126" s="508"/>
      <c r="AR126" s="508"/>
      <c r="AS126" s="508"/>
      <c r="AT126" s="508"/>
      <c r="AU126" s="508"/>
      <c r="AV126" s="508"/>
      <c r="AW126" s="508"/>
      <c r="AX126" s="508"/>
      <c r="AY126" s="508"/>
      <c r="AZ126" s="508"/>
      <c r="BA126" s="508"/>
      <c r="BB126" s="508"/>
      <c r="BC126" s="508"/>
      <c r="BD126" s="508"/>
      <c r="BE126" s="508"/>
      <c r="BF126" s="508"/>
      <c r="BG126" s="508"/>
      <c r="BH126" s="508"/>
      <c r="BI126" s="508"/>
      <c r="BJ126" s="508"/>
      <c r="BK126" s="509"/>
      <c r="BL126" s="5"/>
      <c r="BM126" s="4"/>
      <c r="BN126" s="507"/>
      <c r="BO126" s="508"/>
      <c r="BP126" s="508"/>
      <c r="BQ126" s="508"/>
      <c r="BR126" s="508"/>
      <c r="BS126" s="508"/>
      <c r="BT126" s="508"/>
      <c r="BU126" s="508"/>
      <c r="BV126" s="508"/>
      <c r="BW126" s="508"/>
      <c r="BX126" s="508"/>
      <c r="BY126" s="508"/>
      <c r="BZ126" s="508"/>
      <c r="CA126" s="508"/>
      <c r="CB126" s="508"/>
      <c r="CC126" s="508"/>
      <c r="CD126" s="508"/>
      <c r="CE126" s="508"/>
      <c r="CF126" s="508"/>
      <c r="CG126" s="508"/>
      <c r="CH126" s="508"/>
      <c r="CI126" s="508"/>
      <c r="CJ126" s="508"/>
      <c r="CK126" s="508"/>
      <c r="CL126" s="508"/>
      <c r="CM126" s="508"/>
      <c r="CN126" s="508"/>
      <c r="CO126" s="508"/>
      <c r="CP126" s="508"/>
      <c r="CQ126" s="509"/>
      <c r="CR126" s="5"/>
    </row>
    <row r="127" spans="1:96" ht="12" customHeight="1" x14ac:dyDescent="0.3">
      <c r="A127" s="4"/>
      <c r="B127" s="507"/>
      <c r="C127" s="508"/>
      <c r="D127" s="508"/>
      <c r="E127" s="508"/>
      <c r="F127" s="508"/>
      <c r="G127" s="508"/>
      <c r="H127" s="508"/>
      <c r="I127" s="508"/>
      <c r="J127" s="508"/>
      <c r="K127" s="508"/>
      <c r="L127" s="508"/>
      <c r="M127" s="508"/>
      <c r="N127" s="508"/>
      <c r="O127" s="508"/>
      <c r="P127" s="508"/>
      <c r="Q127" s="508"/>
      <c r="R127" s="508"/>
      <c r="S127" s="508"/>
      <c r="T127" s="508"/>
      <c r="U127" s="508"/>
      <c r="V127" s="508"/>
      <c r="W127" s="508"/>
      <c r="X127" s="508"/>
      <c r="Y127" s="508"/>
      <c r="Z127" s="508"/>
      <c r="AA127" s="508"/>
      <c r="AB127" s="508"/>
      <c r="AC127" s="508"/>
      <c r="AD127" s="508"/>
      <c r="AE127" s="509"/>
      <c r="AF127" s="5"/>
      <c r="AG127" s="4"/>
      <c r="AH127" s="507"/>
      <c r="AI127" s="508"/>
      <c r="AJ127" s="508"/>
      <c r="AK127" s="508"/>
      <c r="AL127" s="508"/>
      <c r="AM127" s="508"/>
      <c r="AN127" s="508"/>
      <c r="AO127" s="508"/>
      <c r="AP127" s="508"/>
      <c r="AQ127" s="508"/>
      <c r="AR127" s="508"/>
      <c r="AS127" s="508"/>
      <c r="AT127" s="508"/>
      <c r="AU127" s="508"/>
      <c r="AV127" s="508"/>
      <c r="AW127" s="508"/>
      <c r="AX127" s="508"/>
      <c r="AY127" s="508"/>
      <c r="AZ127" s="508"/>
      <c r="BA127" s="508"/>
      <c r="BB127" s="508"/>
      <c r="BC127" s="508"/>
      <c r="BD127" s="508"/>
      <c r="BE127" s="508"/>
      <c r="BF127" s="508"/>
      <c r="BG127" s="508"/>
      <c r="BH127" s="508"/>
      <c r="BI127" s="508"/>
      <c r="BJ127" s="508"/>
      <c r="BK127" s="509"/>
      <c r="BL127" s="5"/>
      <c r="BM127" s="4"/>
      <c r="BN127" s="507"/>
      <c r="BO127" s="508"/>
      <c r="BP127" s="508"/>
      <c r="BQ127" s="508"/>
      <c r="BR127" s="508"/>
      <c r="BS127" s="508"/>
      <c r="BT127" s="508"/>
      <c r="BU127" s="508"/>
      <c r="BV127" s="508"/>
      <c r="BW127" s="508"/>
      <c r="BX127" s="508"/>
      <c r="BY127" s="508"/>
      <c r="BZ127" s="508"/>
      <c r="CA127" s="508"/>
      <c r="CB127" s="508"/>
      <c r="CC127" s="508"/>
      <c r="CD127" s="508"/>
      <c r="CE127" s="508"/>
      <c r="CF127" s="508"/>
      <c r="CG127" s="508"/>
      <c r="CH127" s="508"/>
      <c r="CI127" s="508"/>
      <c r="CJ127" s="508"/>
      <c r="CK127" s="508"/>
      <c r="CL127" s="508"/>
      <c r="CM127" s="508"/>
      <c r="CN127" s="508"/>
      <c r="CO127" s="508"/>
      <c r="CP127" s="508"/>
      <c r="CQ127" s="509"/>
      <c r="CR127" s="5"/>
    </row>
    <row r="128" spans="1:96" ht="12" customHeight="1" x14ac:dyDescent="0.3">
      <c r="A128" s="31"/>
      <c r="B128" s="507"/>
      <c r="C128" s="508"/>
      <c r="D128" s="508"/>
      <c r="E128" s="508"/>
      <c r="F128" s="508"/>
      <c r="G128" s="508"/>
      <c r="H128" s="508"/>
      <c r="I128" s="508"/>
      <c r="J128" s="508"/>
      <c r="K128" s="508"/>
      <c r="L128" s="508"/>
      <c r="M128" s="508"/>
      <c r="N128" s="508"/>
      <c r="O128" s="508"/>
      <c r="P128" s="508"/>
      <c r="Q128" s="508"/>
      <c r="R128" s="508"/>
      <c r="S128" s="508"/>
      <c r="T128" s="508"/>
      <c r="U128" s="508"/>
      <c r="V128" s="508"/>
      <c r="W128" s="508"/>
      <c r="X128" s="508"/>
      <c r="Y128" s="508"/>
      <c r="Z128" s="508"/>
      <c r="AA128" s="508"/>
      <c r="AB128" s="508"/>
      <c r="AC128" s="508"/>
      <c r="AD128" s="508"/>
      <c r="AE128" s="509"/>
      <c r="AF128" s="32"/>
      <c r="AG128" s="31"/>
      <c r="AH128" s="507"/>
      <c r="AI128" s="508"/>
      <c r="AJ128" s="508"/>
      <c r="AK128" s="508"/>
      <c r="AL128" s="508"/>
      <c r="AM128" s="508"/>
      <c r="AN128" s="508"/>
      <c r="AO128" s="508"/>
      <c r="AP128" s="508"/>
      <c r="AQ128" s="508"/>
      <c r="AR128" s="508"/>
      <c r="AS128" s="508"/>
      <c r="AT128" s="508"/>
      <c r="AU128" s="508"/>
      <c r="AV128" s="508"/>
      <c r="AW128" s="508"/>
      <c r="AX128" s="508"/>
      <c r="AY128" s="508"/>
      <c r="AZ128" s="508"/>
      <c r="BA128" s="508"/>
      <c r="BB128" s="508"/>
      <c r="BC128" s="508"/>
      <c r="BD128" s="508"/>
      <c r="BE128" s="508"/>
      <c r="BF128" s="508"/>
      <c r="BG128" s="508"/>
      <c r="BH128" s="508"/>
      <c r="BI128" s="508"/>
      <c r="BJ128" s="508"/>
      <c r="BK128" s="509"/>
      <c r="BL128" s="32"/>
      <c r="BM128" s="31"/>
      <c r="BN128" s="507"/>
      <c r="BO128" s="508"/>
      <c r="BP128" s="508"/>
      <c r="BQ128" s="508"/>
      <c r="BR128" s="508"/>
      <c r="BS128" s="508"/>
      <c r="BT128" s="508"/>
      <c r="BU128" s="508"/>
      <c r="BV128" s="508"/>
      <c r="BW128" s="508"/>
      <c r="BX128" s="508"/>
      <c r="BY128" s="508"/>
      <c r="BZ128" s="508"/>
      <c r="CA128" s="508"/>
      <c r="CB128" s="508"/>
      <c r="CC128" s="508"/>
      <c r="CD128" s="508"/>
      <c r="CE128" s="508"/>
      <c r="CF128" s="508"/>
      <c r="CG128" s="508"/>
      <c r="CH128" s="508"/>
      <c r="CI128" s="508"/>
      <c r="CJ128" s="508"/>
      <c r="CK128" s="508"/>
      <c r="CL128" s="508"/>
      <c r="CM128" s="508"/>
      <c r="CN128" s="508"/>
      <c r="CO128" s="508"/>
      <c r="CP128" s="508"/>
      <c r="CQ128" s="509"/>
      <c r="CR128" s="32"/>
    </row>
    <row r="129" spans="1:96" ht="12" customHeight="1" x14ac:dyDescent="0.3">
      <c r="A129" s="31"/>
      <c r="B129" s="507"/>
      <c r="C129" s="508"/>
      <c r="D129" s="508"/>
      <c r="E129" s="508"/>
      <c r="F129" s="508"/>
      <c r="G129" s="508"/>
      <c r="H129" s="508"/>
      <c r="I129" s="508"/>
      <c r="J129" s="508"/>
      <c r="K129" s="508"/>
      <c r="L129" s="508"/>
      <c r="M129" s="508"/>
      <c r="N129" s="508"/>
      <c r="O129" s="508"/>
      <c r="P129" s="508"/>
      <c r="Q129" s="508"/>
      <c r="R129" s="508"/>
      <c r="S129" s="508"/>
      <c r="T129" s="508"/>
      <c r="U129" s="508"/>
      <c r="V129" s="508"/>
      <c r="W129" s="508"/>
      <c r="X129" s="508"/>
      <c r="Y129" s="508"/>
      <c r="Z129" s="508"/>
      <c r="AA129" s="508"/>
      <c r="AB129" s="508"/>
      <c r="AC129" s="508"/>
      <c r="AD129" s="508"/>
      <c r="AE129" s="509"/>
      <c r="AF129" s="32"/>
      <c r="AG129" s="31"/>
      <c r="AH129" s="507"/>
      <c r="AI129" s="508"/>
      <c r="AJ129" s="508"/>
      <c r="AK129" s="508"/>
      <c r="AL129" s="508"/>
      <c r="AM129" s="508"/>
      <c r="AN129" s="508"/>
      <c r="AO129" s="508"/>
      <c r="AP129" s="508"/>
      <c r="AQ129" s="508"/>
      <c r="AR129" s="508"/>
      <c r="AS129" s="508"/>
      <c r="AT129" s="508"/>
      <c r="AU129" s="508"/>
      <c r="AV129" s="508"/>
      <c r="AW129" s="508"/>
      <c r="AX129" s="508"/>
      <c r="AY129" s="508"/>
      <c r="AZ129" s="508"/>
      <c r="BA129" s="508"/>
      <c r="BB129" s="508"/>
      <c r="BC129" s="508"/>
      <c r="BD129" s="508"/>
      <c r="BE129" s="508"/>
      <c r="BF129" s="508"/>
      <c r="BG129" s="508"/>
      <c r="BH129" s="508"/>
      <c r="BI129" s="508"/>
      <c r="BJ129" s="508"/>
      <c r="BK129" s="509"/>
      <c r="BL129" s="32"/>
      <c r="BM129" s="31"/>
      <c r="BN129" s="507"/>
      <c r="BO129" s="508"/>
      <c r="BP129" s="508"/>
      <c r="BQ129" s="508"/>
      <c r="BR129" s="508"/>
      <c r="BS129" s="508"/>
      <c r="BT129" s="508"/>
      <c r="BU129" s="508"/>
      <c r="BV129" s="508"/>
      <c r="BW129" s="508"/>
      <c r="BX129" s="508"/>
      <c r="BY129" s="508"/>
      <c r="BZ129" s="508"/>
      <c r="CA129" s="508"/>
      <c r="CB129" s="508"/>
      <c r="CC129" s="508"/>
      <c r="CD129" s="508"/>
      <c r="CE129" s="508"/>
      <c r="CF129" s="508"/>
      <c r="CG129" s="508"/>
      <c r="CH129" s="508"/>
      <c r="CI129" s="508"/>
      <c r="CJ129" s="508"/>
      <c r="CK129" s="508"/>
      <c r="CL129" s="508"/>
      <c r="CM129" s="508"/>
      <c r="CN129" s="508"/>
      <c r="CO129" s="508"/>
      <c r="CP129" s="508"/>
      <c r="CQ129" s="509"/>
      <c r="CR129" s="32"/>
    </row>
    <row r="130" spans="1:96" ht="12" customHeight="1" x14ac:dyDescent="0.3">
      <c r="A130" s="4"/>
      <c r="B130" s="507"/>
      <c r="C130" s="508"/>
      <c r="D130" s="508"/>
      <c r="E130" s="508"/>
      <c r="F130" s="508"/>
      <c r="G130" s="508"/>
      <c r="H130" s="508"/>
      <c r="I130" s="508"/>
      <c r="J130" s="508"/>
      <c r="K130" s="508"/>
      <c r="L130" s="508"/>
      <c r="M130" s="508"/>
      <c r="N130" s="508"/>
      <c r="O130" s="508"/>
      <c r="P130" s="508"/>
      <c r="Q130" s="508"/>
      <c r="R130" s="508"/>
      <c r="S130" s="508"/>
      <c r="T130" s="508"/>
      <c r="U130" s="508"/>
      <c r="V130" s="508"/>
      <c r="W130" s="508"/>
      <c r="X130" s="508"/>
      <c r="Y130" s="508"/>
      <c r="Z130" s="508"/>
      <c r="AA130" s="508"/>
      <c r="AB130" s="508"/>
      <c r="AC130" s="508"/>
      <c r="AD130" s="508"/>
      <c r="AE130" s="509"/>
      <c r="AF130" s="5"/>
      <c r="AG130" s="4"/>
      <c r="AH130" s="507"/>
      <c r="AI130" s="508"/>
      <c r="AJ130" s="508"/>
      <c r="AK130" s="508"/>
      <c r="AL130" s="508"/>
      <c r="AM130" s="508"/>
      <c r="AN130" s="508"/>
      <c r="AO130" s="508"/>
      <c r="AP130" s="508"/>
      <c r="AQ130" s="508"/>
      <c r="AR130" s="508"/>
      <c r="AS130" s="508"/>
      <c r="AT130" s="508"/>
      <c r="AU130" s="508"/>
      <c r="AV130" s="508"/>
      <c r="AW130" s="508"/>
      <c r="AX130" s="508"/>
      <c r="AY130" s="508"/>
      <c r="AZ130" s="508"/>
      <c r="BA130" s="508"/>
      <c r="BB130" s="508"/>
      <c r="BC130" s="508"/>
      <c r="BD130" s="508"/>
      <c r="BE130" s="508"/>
      <c r="BF130" s="508"/>
      <c r="BG130" s="508"/>
      <c r="BH130" s="508"/>
      <c r="BI130" s="508"/>
      <c r="BJ130" s="508"/>
      <c r="BK130" s="509"/>
      <c r="BL130" s="5"/>
      <c r="BM130" s="4"/>
      <c r="BN130" s="507"/>
      <c r="BO130" s="508"/>
      <c r="BP130" s="508"/>
      <c r="BQ130" s="508"/>
      <c r="BR130" s="508"/>
      <c r="BS130" s="508"/>
      <c r="BT130" s="508"/>
      <c r="BU130" s="508"/>
      <c r="BV130" s="508"/>
      <c r="BW130" s="508"/>
      <c r="BX130" s="508"/>
      <c r="BY130" s="508"/>
      <c r="BZ130" s="508"/>
      <c r="CA130" s="508"/>
      <c r="CB130" s="508"/>
      <c r="CC130" s="508"/>
      <c r="CD130" s="508"/>
      <c r="CE130" s="508"/>
      <c r="CF130" s="508"/>
      <c r="CG130" s="508"/>
      <c r="CH130" s="508"/>
      <c r="CI130" s="508"/>
      <c r="CJ130" s="508"/>
      <c r="CK130" s="508"/>
      <c r="CL130" s="508"/>
      <c r="CM130" s="508"/>
      <c r="CN130" s="508"/>
      <c r="CO130" s="508"/>
      <c r="CP130" s="508"/>
      <c r="CQ130" s="509"/>
      <c r="CR130" s="5"/>
    </row>
    <row r="131" spans="1:96" ht="12" customHeight="1" x14ac:dyDescent="0.3">
      <c r="A131" s="4"/>
      <c r="B131" s="507"/>
      <c r="C131" s="508"/>
      <c r="D131" s="508"/>
      <c r="E131" s="508"/>
      <c r="F131" s="508"/>
      <c r="G131" s="508"/>
      <c r="H131" s="508"/>
      <c r="I131" s="508"/>
      <c r="J131" s="508"/>
      <c r="K131" s="508"/>
      <c r="L131" s="508"/>
      <c r="M131" s="508"/>
      <c r="N131" s="508"/>
      <c r="O131" s="508"/>
      <c r="P131" s="508"/>
      <c r="Q131" s="508"/>
      <c r="R131" s="508"/>
      <c r="S131" s="508"/>
      <c r="T131" s="508"/>
      <c r="U131" s="508"/>
      <c r="V131" s="508"/>
      <c r="W131" s="508"/>
      <c r="X131" s="508"/>
      <c r="Y131" s="508"/>
      <c r="Z131" s="508"/>
      <c r="AA131" s="508"/>
      <c r="AB131" s="508"/>
      <c r="AC131" s="508"/>
      <c r="AD131" s="508"/>
      <c r="AE131" s="509"/>
      <c r="AF131" s="5"/>
      <c r="AG131" s="4"/>
      <c r="AH131" s="507"/>
      <c r="AI131" s="508"/>
      <c r="AJ131" s="508"/>
      <c r="AK131" s="508"/>
      <c r="AL131" s="508"/>
      <c r="AM131" s="508"/>
      <c r="AN131" s="508"/>
      <c r="AO131" s="508"/>
      <c r="AP131" s="508"/>
      <c r="AQ131" s="508"/>
      <c r="AR131" s="508"/>
      <c r="AS131" s="508"/>
      <c r="AT131" s="508"/>
      <c r="AU131" s="508"/>
      <c r="AV131" s="508"/>
      <c r="AW131" s="508"/>
      <c r="AX131" s="508"/>
      <c r="AY131" s="508"/>
      <c r="AZ131" s="508"/>
      <c r="BA131" s="508"/>
      <c r="BB131" s="508"/>
      <c r="BC131" s="508"/>
      <c r="BD131" s="508"/>
      <c r="BE131" s="508"/>
      <c r="BF131" s="508"/>
      <c r="BG131" s="508"/>
      <c r="BH131" s="508"/>
      <c r="BI131" s="508"/>
      <c r="BJ131" s="508"/>
      <c r="BK131" s="509"/>
      <c r="BL131" s="5"/>
      <c r="BM131" s="4"/>
      <c r="BN131" s="507"/>
      <c r="BO131" s="508"/>
      <c r="BP131" s="508"/>
      <c r="BQ131" s="508"/>
      <c r="BR131" s="508"/>
      <c r="BS131" s="508"/>
      <c r="BT131" s="508"/>
      <c r="BU131" s="508"/>
      <c r="BV131" s="508"/>
      <c r="BW131" s="508"/>
      <c r="BX131" s="508"/>
      <c r="BY131" s="508"/>
      <c r="BZ131" s="508"/>
      <c r="CA131" s="508"/>
      <c r="CB131" s="508"/>
      <c r="CC131" s="508"/>
      <c r="CD131" s="508"/>
      <c r="CE131" s="508"/>
      <c r="CF131" s="508"/>
      <c r="CG131" s="508"/>
      <c r="CH131" s="508"/>
      <c r="CI131" s="508"/>
      <c r="CJ131" s="508"/>
      <c r="CK131" s="508"/>
      <c r="CL131" s="508"/>
      <c r="CM131" s="508"/>
      <c r="CN131" s="508"/>
      <c r="CO131" s="508"/>
      <c r="CP131" s="508"/>
      <c r="CQ131" s="509"/>
      <c r="CR131" s="5"/>
    </row>
    <row r="132" spans="1:96" ht="12" customHeight="1" x14ac:dyDescent="0.3">
      <c r="A132" s="4"/>
      <c r="B132" s="507"/>
      <c r="C132" s="508"/>
      <c r="D132" s="508"/>
      <c r="E132" s="508"/>
      <c r="F132" s="508"/>
      <c r="G132" s="508"/>
      <c r="H132" s="508"/>
      <c r="I132" s="508"/>
      <c r="J132" s="508"/>
      <c r="K132" s="508"/>
      <c r="L132" s="508"/>
      <c r="M132" s="508"/>
      <c r="N132" s="508"/>
      <c r="O132" s="508"/>
      <c r="P132" s="508"/>
      <c r="Q132" s="508"/>
      <c r="R132" s="508"/>
      <c r="S132" s="508"/>
      <c r="T132" s="508"/>
      <c r="U132" s="508"/>
      <c r="V132" s="508"/>
      <c r="W132" s="508"/>
      <c r="X132" s="508"/>
      <c r="Y132" s="508"/>
      <c r="Z132" s="508"/>
      <c r="AA132" s="508"/>
      <c r="AB132" s="508"/>
      <c r="AC132" s="508"/>
      <c r="AD132" s="508"/>
      <c r="AE132" s="509"/>
      <c r="AF132" s="5"/>
      <c r="AG132" s="4"/>
      <c r="AH132" s="507"/>
      <c r="AI132" s="508"/>
      <c r="AJ132" s="508"/>
      <c r="AK132" s="508"/>
      <c r="AL132" s="508"/>
      <c r="AM132" s="508"/>
      <c r="AN132" s="508"/>
      <c r="AO132" s="508"/>
      <c r="AP132" s="508"/>
      <c r="AQ132" s="508"/>
      <c r="AR132" s="508"/>
      <c r="AS132" s="508"/>
      <c r="AT132" s="508"/>
      <c r="AU132" s="508"/>
      <c r="AV132" s="508"/>
      <c r="AW132" s="508"/>
      <c r="AX132" s="508"/>
      <c r="AY132" s="508"/>
      <c r="AZ132" s="508"/>
      <c r="BA132" s="508"/>
      <c r="BB132" s="508"/>
      <c r="BC132" s="508"/>
      <c r="BD132" s="508"/>
      <c r="BE132" s="508"/>
      <c r="BF132" s="508"/>
      <c r="BG132" s="508"/>
      <c r="BH132" s="508"/>
      <c r="BI132" s="508"/>
      <c r="BJ132" s="508"/>
      <c r="BK132" s="509"/>
      <c r="BL132" s="5"/>
      <c r="BM132" s="4"/>
      <c r="BN132" s="507"/>
      <c r="BO132" s="508"/>
      <c r="BP132" s="508"/>
      <c r="BQ132" s="508"/>
      <c r="BR132" s="508"/>
      <c r="BS132" s="508"/>
      <c r="BT132" s="508"/>
      <c r="BU132" s="508"/>
      <c r="BV132" s="508"/>
      <c r="BW132" s="508"/>
      <c r="BX132" s="508"/>
      <c r="BY132" s="508"/>
      <c r="BZ132" s="508"/>
      <c r="CA132" s="508"/>
      <c r="CB132" s="508"/>
      <c r="CC132" s="508"/>
      <c r="CD132" s="508"/>
      <c r="CE132" s="508"/>
      <c r="CF132" s="508"/>
      <c r="CG132" s="508"/>
      <c r="CH132" s="508"/>
      <c r="CI132" s="508"/>
      <c r="CJ132" s="508"/>
      <c r="CK132" s="508"/>
      <c r="CL132" s="508"/>
      <c r="CM132" s="508"/>
      <c r="CN132" s="508"/>
      <c r="CO132" s="508"/>
      <c r="CP132" s="508"/>
      <c r="CQ132" s="509"/>
      <c r="CR132" s="5"/>
    </row>
    <row r="133" spans="1:96" ht="12" customHeight="1" x14ac:dyDescent="0.3">
      <c r="A133" s="4"/>
      <c r="B133" s="507"/>
      <c r="C133" s="508"/>
      <c r="D133" s="508"/>
      <c r="E133" s="508"/>
      <c r="F133" s="508"/>
      <c r="G133" s="508"/>
      <c r="H133" s="508"/>
      <c r="I133" s="508"/>
      <c r="J133" s="508"/>
      <c r="K133" s="508"/>
      <c r="L133" s="508"/>
      <c r="M133" s="508"/>
      <c r="N133" s="508"/>
      <c r="O133" s="508"/>
      <c r="P133" s="508"/>
      <c r="Q133" s="508"/>
      <c r="R133" s="508"/>
      <c r="S133" s="508"/>
      <c r="T133" s="508"/>
      <c r="U133" s="508"/>
      <c r="V133" s="508"/>
      <c r="W133" s="508"/>
      <c r="X133" s="508"/>
      <c r="Y133" s="508"/>
      <c r="Z133" s="508"/>
      <c r="AA133" s="508"/>
      <c r="AB133" s="508"/>
      <c r="AC133" s="508"/>
      <c r="AD133" s="508"/>
      <c r="AE133" s="509"/>
      <c r="AF133" s="5"/>
      <c r="AG133" s="4"/>
      <c r="AH133" s="507"/>
      <c r="AI133" s="508"/>
      <c r="AJ133" s="508"/>
      <c r="AK133" s="508"/>
      <c r="AL133" s="508"/>
      <c r="AM133" s="508"/>
      <c r="AN133" s="508"/>
      <c r="AO133" s="508"/>
      <c r="AP133" s="508"/>
      <c r="AQ133" s="508"/>
      <c r="AR133" s="508"/>
      <c r="AS133" s="508"/>
      <c r="AT133" s="508"/>
      <c r="AU133" s="508"/>
      <c r="AV133" s="508"/>
      <c r="AW133" s="508"/>
      <c r="AX133" s="508"/>
      <c r="AY133" s="508"/>
      <c r="AZ133" s="508"/>
      <c r="BA133" s="508"/>
      <c r="BB133" s="508"/>
      <c r="BC133" s="508"/>
      <c r="BD133" s="508"/>
      <c r="BE133" s="508"/>
      <c r="BF133" s="508"/>
      <c r="BG133" s="508"/>
      <c r="BH133" s="508"/>
      <c r="BI133" s="508"/>
      <c r="BJ133" s="508"/>
      <c r="BK133" s="509"/>
      <c r="BL133" s="5"/>
      <c r="BM133" s="4"/>
      <c r="BN133" s="507"/>
      <c r="BO133" s="508"/>
      <c r="BP133" s="508"/>
      <c r="BQ133" s="508"/>
      <c r="BR133" s="508"/>
      <c r="BS133" s="508"/>
      <c r="BT133" s="508"/>
      <c r="BU133" s="508"/>
      <c r="BV133" s="508"/>
      <c r="BW133" s="508"/>
      <c r="BX133" s="508"/>
      <c r="BY133" s="508"/>
      <c r="BZ133" s="508"/>
      <c r="CA133" s="508"/>
      <c r="CB133" s="508"/>
      <c r="CC133" s="508"/>
      <c r="CD133" s="508"/>
      <c r="CE133" s="508"/>
      <c r="CF133" s="508"/>
      <c r="CG133" s="508"/>
      <c r="CH133" s="508"/>
      <c r="CI133" s="508"/>
      <c r="CJ133" s="508"/>
      <c r="CK133" s="508"/>
      <c r="CL133" s="508"/>
      <c r="CM133" s="508"/>
      <c r="CN133" s="508"/>
      <c r="CO133" s="508"/>
      <c r="CP133" s="508"/>
      <c r="CQ133" s="509"/>
      <c r="CR133" s="5"/>
    </row>
    <row r="134" spans="1:96" ht="12" customHeight="1" x14ac:dyDescent="0.3">
      <c r="A134" s="4"/>
      <c r="B134" s="507"/>
      <c r="C134" s="508"/>
      <c r="D134" s="508"/>
      <c r="E134" s="508"/>
      <c r="F134" s="508"/>
      <c r="G134" s="508"/>
      <c r="H134" s="508"/>
      <c r="I134" s="508"/>
      <c r="J134" s="508"/>
      <c r="K134" s="508"/>
      <c r="L134" s="508"/>
      <c r="M134" s="508"/>
      <c r="N134" s="508"/>
      <c r="O134" s="508"/>
      <c r="P134" s="508"/>
      <c r="Q134" s="508"/>
      <c r="R134" s="508"/>
      <c r="S134" s="508"/>
      <c r="T134" s="508"/>
      <c r="U134" s="508"/>
      <c r="V134" s="508"/>
      <c r="W134" s="508"/>
      <c r="X134" s="508"/>
      <c r="Y134" s="508"/>
      <c r="Z134" s="508"/>
      <c r="AA134" s="508"/>
      <c r="AB134" s="508"/>
      <c r="AC134" s="508"/>
      <c r="AD134" s="508"/>
      <c r="AE134" s="509"/>
      <c r="AF134" s="5"/>
      <c r="AG134" s="4"/>
      <c r="AH134" s="507"/>
      <c r="AI134" s="508"/>
      <c r="AJ134" s="508"/>
      <c r="AK134" s="508"/>
      <c r="AL134" s="508"/>
      <c r="AM134" s="508"/>
      <c r="AN134" s="508"/>
      <c r="AO134" s="508"/>
      <c r="AP134" s="508"/>
      <c r="AQ134" s="508"/>
      <c r="AR134" s="508"/>
      <c r="AS134" s="508"/>
      <c r="AT134" s="508"/>
      <c r="AU134" s="508"/>
      <c r="AV134" s="508"/>
      <c r="AW134" s="508"/>
      <c r="AX134" s="508"/>
      <c r="AY134" s="508"/>
      <c r="AZ134" s="508"/>
      <c r="BA134" s="508"/>
      <c r="BB134" s="508"/>
      <c r="BC134" s="508"/>
      <c r="BD134" s="508"/>
      <c r="BE134" s="508"/>
      <c r="BF134" s="508"/>
      <c r="BG134" s="508"/>
      <c r="BH134" s="508"/>
      <c r="BI134" s="508"/>
      <c r="BJ134" s="508"/>
      <c r="BK134" s="509"/>
      <c r="BL134" s="5"/>
      <c r="BM134" s="4"/>
      <c r="BN134" s="507"/>
      <c r="BO134" s="508"/>
      <c r="BP134" s="508"/>
      <c r="BQ134" s="508"/>
      <c r="BR134" s="508"/>
      <c r="BS134" s="508"/>
      <c r="BT134" s="508"/>
      <c r="BU134" s="508"/>
      <c r="BV134" s="508"/>
      <c r="BW134" s="508"/>
      <c r="BX134" s="508"/>
      <c r="BY134" s="508"/>
      <c r="BZ134" s="508"/>
      <c r="CA134" s="508"/>
      <c r="CB134" s="508"/>
      <c r="CC134" s="508"/>
      <c r="CD134" s="508"/>
      <c r="CE134" s="508"/>
      <c r="CF134" s="508"/>
      <c r="CG134" s="508"/>
      <c r="CH134" s="508"/>
      <c r="CI134" s="508"/>
      <c r="CJ134" s="508"/>
      <c r="CK134" s="508"/>
      <c r="CL134" s="508"/>
      <c r="CM134" s="508"/>
      <c r="CN134" s="508"/>
      <c r="CO134" s="508"/>
      <c r="CP134" s="508"/>
      <c r="CQ134" s="509"/>
      <c r="CR134" s="5"/>
    </row>
    <row r="135" spans="1:96" ht="12" customHeight="1" x14ac:dyDescent="0.3">
      <c r="A135" s="4"/>
      <c r="B135" s="507"/>
      <c r="C135" s="508"/>
      <c r="D135" s="508"/>
      <c r="E135" s="508"/>
      <c r="F135" s="508"/>
      <c r="G135" s="508"/>
      <c r="H135" s="508"/>
      <c r="I135" s="508"/>
      <c r="J135" s="508"/>
      <c r="K135" s="508"/>
      <c r="L135" s="508"/>
      <c r="M135" s="508"/>
      <c r="N135" s="508"/>
      <c r="O135" s="508"/>
      <c r="P135" s="508"/>
      <c r="Q135" s="508"/>
      <c r="R135" s="508"/>
      <c r="S135" s="508"/>
      <c r="T135" s="508"/>
      <c r="U135" s="508"/>
      <c r="V135" s="508"/>
      <c r="W135" s="508"/>
      <c r="X135" s="508"/>
      <c r="Y135" s="508"/>
      <c r="Z135" s="508"/>
      <c r="AA135" s="508"/>
      <c r="AB135" s="508"/>
      <c r="AC135" s="508"/>
      <c r="AD135" s="508"/>
      <c r="AE135" s="509"/>
      <c r="AF135" s="5"/>
      <c r="AG135" s="4"/>
      <c r="AH135" s="507"/>
      <c r="AI135" s="508"/>
      <c r="AJ135" s="508"/>
      <c r="AK135" s="508"/>
      <c r="AL135" s="508"/>
      <c r="AM135" s="508"/>
      <c r="AN135" s="508"/>
      <c r="AO135" s="508"/>
      <c r="AP135" s="508"/>
      <c r="AQ135" s="508"/>
      <c r="AR135" s="508"/>
      <c r="AS135" s="508"/>
      <c r="AT135" s="508"/>
      <c r="AU135" s="508"/>
      <c r="AV135" s="508"/>
      <c r="AW135" s="508"/>
      <c r="AX135" s="508"/>
      <c r="AY135" s="508"/>
      <c r="AZ135" s="508"/>
      <c r="BA135" s="508"/>
      <c r="BB135" s="508"/>
      <c r="BC135" s="508"/>
      <c r="BD135" s="508"/>
      <c r="BE135" s="508"/>
      <c r="BF135" s="508"/>
      <c r="BG135" s="508"/>
      <c r="BH135" s="508"/>
      <c r="BI135" s="508"/>
      <c r="BJ135" s="508"/>
      <c r="BK135" s="509"/>
      <c r="BL135" s="5"/>
      <c r="BM135" s="4"/>
      <c r="BN135" s="507"/>
      <c r="BO135" s="508"/>
      <c r="BP135" s="508"/>
      <c r="BQ135" s="508"/>
      <c r="BR135" s="508"/>
      <c r="BS135" s="508"/>
      <c r="BT135" s="508"/>
      <c r="BU135" s="508"/>
      <c r="BV135" s="508"/>
      <c r="BW135" s="508"/>
      <c r="BX135" s="508"/>
      <c r="BY135" s="508"/>
      <c r="BZ135" s="508"/>
      <c r="CA135" s="508"/>
      <c r="CB135" s="508"/>
      <c r="CC135" s="508"/>
      <c r="CD135" s="508"/>
      <c r="CE135" s="508"/>
      <c r="CF135" s="508"/>
      <c r="CG135" s="508"/>
      <c r="CH135" s="508"/>
      <c r="CI135" s="508"/>
      <c r="CJ135" s="508"/>
      <c r="CK135" s="508"/>
      <c r="CL135" s="508"/>
      <c r="CM135" s="508"/>
      <c r="CN135" s="508"/>
      <c r="CO135" s="508"/>
      <c r="CP135" s="508"/>
      <c r="CQ135" s="509"/>
      <c r="CR135" s="5"/>
    </row>
    <row r="136" spans="1:96" ht="12" customHeight="1" x14ac:dyDescent="0.3">
      <c r="A136" s="4"/>
      <c r="B136" s="507"/>
      <c r="C136" s="508"/>
      <c r="D136" s="508"/>
      <c r="E136" s="508"/>
      <c r="F136" s="508"/>
      <c r="G136" s="508"/>
      <c r="H136" s="508"/>
      <c r="I136" s="508"/>
      <c r="J136" s="508"/>
      <c r="K136" s="508"/>
      <c r="L136" s="508"/>
      <c r="M136" s="508"/>
      <c r="N136" s="508"/>
      <c r="O136" s="508"/>
      <c r="P136" s="508"/>
      <c r="Q136" s="508"/>
      <c r="R136" s="508"/>
      <c r="S136" s="508"/>
      <c r="T136" s="508"/>
      <c r="U136" s="508"/>
      <c r="V136" s="508"/>
      <c r="W136" s="508"/>
      <c r="X136" s="508"/>
      <c r="Y136" s="508"/>
      <c r="Z136" s="508"/>
      <c r="AA136" s="508"/>
      <c r="AB136" s="508"/>
      <c r="AC136" s="508"/>
      <c r="AD136" s="508"/>
      <c r="AE136" s="509"/>
      <c r="AF136" s="5"/>
      <c r="AG136" s="4"/>
      <c r="AH136" s="507"/>
      <c r="AI136" s="508"/>
      <c r="AJ136" s="508"/>
      <c r="AK136" s="508"/>
      <c r="AL136" s="508"/>
      <c r="AM136" s="508"/>
      <c r="AN136" s="508"/>
      <c r="AO136" s="508"/>
      <c r="AP136" s="508"/>
      <c r="AQ136" s="508"/>
      <c r="AR136" s="508"/>
      <c r="AS136" s="508"/>
      <c r="AT136" s="508"/>
      <c r="AU136" s="508"/>
      <c r="AV136" s="508"/>
      <c r="AW136" s="508"/>
      <c r="AX136" s="508"/>
      <c r="AY136" s="508"/>
      <c r="AZ136" s="508"/>
      <c r="BA136" s="508"/>
      <c r="BB136" s="508"/>
      <c r="BC136" s="508"/>
      <c r="BD136" s="508"/>
      <c r="BE136" s="508"/>
      <c r="BF136" s="508"/>
      <c r="BG136" s="508"/>
      <c r="BH136" s="508"/>
      <c r="BI136" s="508"/>
      <c r="BJ136" s="508"/>
      <c r="BK136" s="509"/>
      <c r="BL136" s="5"/>
      <c r="BM136" s="4"/>
      <c r="BN136" s="507"/>
      <c r="BO136" s="508"/>
      <c r="BP136" s="508"/>
      <c r="BQ136" s="508"/>
      <c r="BR136" s="508"/>
      <c r="BS136" s="508"/>
      <c r="BT136" s="508"/>
      <c r="BU136" s="508"/>
      <c r="BV136" s="508"/>
      <c r="BW136" s="508"/>
      <c r="BX136" s="508"/>
      <c r="BY136" s="508"/>
      <c r="BZ136" s="508"/>
      <c r="CA136" s="508"/>
      <c r="CB136" s="508"/>
      <c r="CC136" s="508"/>
      <c r="CD136" s="508"/>
      <c r="CE136" s="508"/>
      <c r="CF136" s="508"/>
      <c r="CG136" s="508"/>
      <c r="CH136" s="508"/>
      <c r="CI136" s="508"/>
      <c r="CJ136" s="508"/>
      <c r="CK136" s="508"/>
      <c r="CL136" s="508"/>
      <c r="CM136" s="508"/>
      <c r="CN136" s="508"/>
      <c r="CO136" s="508"/>
      <c r="CP136" s="508"/>
      <c r="CQ136" s="509"/>
      <c r="CR136" s="5"/>
    </row>
    <row r="137" spans="1:96" ht="12" customHeight="1" x14ac:dyDescent="0.3">
      <c r="A137" s="4"/>
      <c r="B137" s="507"/>
      <c r="C137" s="508"/>
      <c r="D137" s="508"/>
      <c r="E137" s="508"/>
      <c r="F137" s="508"/>
      <c r="G137" s="508"/>
      <c r="H137" s="508"/>
      <c r="I137" s="508"/>
      <c r="J137" s="508"/>
      <c r="K137" s="508"/>
      <c r="L137" s="508"/>
      <c r="M137" s="508"/>
      <c r="N137" s="508"/>
      <c r="O137" s="508"/>
      <c r="P137" s="508"/>
      <c r="Q137" s="508"/>
      <c r="R137" s="508"/>
      <c r="S137" s="508"/>
      <c r="T137" s="508"/>
      <c r="U137" s="508"/>
      <c r="V137" s="508"/>
      <c r="W137" s="508"/>
      <c r="X137" s="508"/>
      <c r="Y137" s="508"/>
      <c r="Z137" s="508"/>
      <c r="AA137" s="508"/>
      <c r="AB137" s="508"/>
      <c r="AC137" s="508"/>
      <c r="AD137" s="508"/>
      <c r="AE137" s="509"/>
      <c r="AF137" s="5"/>
      <c r="AG137" s="4"/>
      <c r="AH137" s="507"/>
      <c r="AI137" s="508"/>
      <c r="AJ137" s="508"/>
      <c r="AK137" s="508"/>
      <c r="AL137" s="508"/>
      <c r="AM137" s="508"/>
      <c r="AN137" s="508"/>
      <c r="AO137" s="508"/>
      <c r="AP137" s="508"/>
      <c r="AQ137" s="508"/>
      <c r="AR137" s="508"/>
      <c r="AS137" s="508"/>
      <c r="AT137" s="508"/>
      <c r="AU137" s="508"/>
      <c r="AV137" s="508"/>
      <c r="AW137" s="508"/>
      <c r="AX137" s="508"/>
      <c r="AY137" s="508"/>
      <c r="AZ137" s="508"/>
      <c r="BA137" s="508"/>
      <c r="BB137" s="508"/>
      <c r="BC137" s="508"/>
      <c r="BD137" s="508"/>
      <c r="BE137" s="508"/>
      <c r="BF137" s="508"/>
      <c r="BG137" s="508"/>
      <c r="BH137" s="508"/>
      <c r="BI137" s="508"/>
      <c r="BJ137" s="508"/>
      <c r="BK137" s="509"/>
      <c r="BL137" s="5"/>
      <c r="BM137" s="4"/>
      <c r="BN137" s="507"/>
      <c r="BO137" s="508"/>
      <c r="BP137" s="508"/>
      <c r="BQ137" s="508"/>
      <c r="BR137" s="508"/>
      <c r="BS137" s="508"/>
      <c r="BT137" s="508"/>
      <c r="BU137" s="508"/>
      <c r="BV137" s="508"/>
      <c r="BW137" s="508"/>
      <c r="BX137" s="508"/>
      <c r="BY137" s="508"/>
      <c r="BZ137" s="508"/>
      <c r="CA137" s="508"/>
      <c r="CB137" s="508"/>
      <c r="CC137" s="508"/>
      <c r="CD137" s="508"/>
      <c r="CE137" s="508"/>
      <c r="CF137" s="508"/>
      <c r="CG137" s="508"/>
      <c r="CH137" s="508"/>
      <c r="CI137" s="508"/>
      <c r="CJ137" s="508"/>
      <c r="CK137" s="508"/>
      <c r="CL137" s="508"/>
      <c r="CM137" s="508"/>
      <c r="CN137" s="508"/>
      <c r="CO137" s="508"/>
      <c r="CP137" s="508"/>
      <c r="CQ137" s="509"/>
      <c r="CR137" s="5"/>
    </row>
    <row r="138" spans="1:96" ht="12" customHeight="1" x14ac:dyDescent="0.3">
      <c r="A138" s="4"/>
      <c r="B138" s="507"/>
      <c r="C138" s="508"/>
      <c r="D138" s="508"/>
      <c r="E138" s="508"/>
      <c r="F138" s="508"/>
      <c r="G138" s="508"/>
      <c r="H138" s="508"/>
      <c r="I138" s="508"/>
      <c r="J138" s="508"/>
      <c r="K138" s="508"/>
      <c r="L138" s="508"/>
      <c r="M138" s="508"/>
      <c r="N138" s="508"/>
      <c r="O138" s="508"/>
      <c r="P138" s="508"/>
      <c r="Q138" s="508"/>
      <c r="R138" s="508"/>
      <c r="S138" s="508"/>
      <c r="T138" s="508"/>
      <c r="U138" s="508"/>
      <c r="V138" s="508"/>
      <c r="W138" s="508"/>
      <c r="X138" s="508"/>
      <c r="Y138" s="508"/>
      <c r="Z138" s="508"/>
      <c r="AA138" s="508"/>
      <c r="AB138" s="508"/>
      <c r="AC138" s="508"/>
      <c r="AD138" s="508"/>
      <c r="AE138" s="509"/>
      <c r="AF138" s="5"/>
      <c r="AG138" s="4"/>
      <c r="AH138" s="507"/>
      <c r="AI138" s="508"/>
      <c r="AJ138" s="508"/>
      <c r="AK138" s="508"/>
      <c r="AL138" s="508"/>
      <c r="AM138" s="508"/>
      <c r="AN138" s="508"/>
      <c r="AO138" s="508"/>
      <c r="AP138" s="508"/>
      <c r="AQ138" s="508"/>
      <c r="AR138" s="508"/>
      <c r="AS138" s="508"/>
      <c r="AT138" s="508"/>
      <c r="AU138" s="508"/>
      <c r="AV138" s="508"/>
      <c r="AW138" s="508"/>
      <c r="AX138" s="508"/>
      <c r="AY138" s="508"/>
      <c r="AZ138" s="508"/>
      <c r="BA138" s="508"/>
      <c r="BB138" s="508"/>
      <c r="BC138" s="508"/>
      <c r="BD138" s="508"/>
      <c r="BE138" s="508"/>
      <c r="BF138" s="508"/>
      <c r="BG138" s="508"/>
      <c r="BH138" s="508"/>
      <c r="BI138" s="508"/>
      <c r="BJ138" s="508"/>
      <c r="BK138" s="509"/>
      <c r="BL138" s="5"/>
      <c r="BM138" s="4"/>
      <c r="BN138" s="507"/>
      <c r="BO138" s="508"/>
      <c r="BP138" s="508"/>
      <c r="BQ138" s="508"/>
      <c r="BR138" s="508"/>
      <c r="BS138" s="508"/>
      <c r="BT138" s="508"/>
      <c r="BU138" s="508"/>
      <c r="BV138" s="508"/>
      <c r="BW138" s="508"/>
      <c r="BX138" s="508"/>
      <c r="BY138" s="508"/>
      <c r="BZ138" s="508"/>
      <c r="CA138" s="508"/>
      <c r="CB138" s="508"/>
      <c r="CC138" s="508"/>
      <c r="CD138" s="508"/>
      <c r="CE138" s="508"/>
      <c r="CF138" s="508"/>
      <c r="CG138" s="508"/>
      <c r="CH138" s="508"/>
      <c r="CI138" s="508"/>
      <c r="CJ138" s="508"/>
      <c r="CK138" s="508"/>
      <c r="CL138" s="508"/>
      <c r="CM138" s="508"/>
      <c r="CN138" s="508"/>
      <c r="CO138" s="508"/>
      <c r="CP138" s="508"/>
      <c r="CQ138" s="509"/>
      <c r="CR138" s="5"/>
    </row>
    <row r="139" spans="1:96" ht="12" customHeight="1" x14ac:dyDescent="0.3">
      <c r="A139" s="4"/>
      <c r="B139" s="507"/>
      <c r="C139" s="508"/>
      <c r="D139" s="508"/>
      <c r="E139" s="508"/>
      <c r="F139" s="508"/>
      <c r="G139" s="508"/>
      <c r="H139" s="508"/>
      <c r="I139" s="508"/>
      <c r="J139" s="508"/>
      <c r="K139" s="508"/>
      <c r="L139" s="508"/>
      <c r="M139" s="508"/>
      <c r="N139" s="508"/>
      <c r="O139" s="508"/>
      <c r="P139" s="508"/>
      <c r="Q139" s="508"/>
      <c r="R139" s="508"/>
      <c r="S139" s="508"/>
      <c r="T139" s="508"/>
      <c r="U139" s="508"/>
      <c r="V139" s="508"/>
      <c r="W139" s="508"/>
      <c r="X139" s="508"/>
      <c r="Y139" s="508"/>
      <c r="Z139" s="508"/>
      <c r="AA139" s="508"/>
      <c r="AB139" s="508"/>
      <c r="AC139" s="508"/>
      <c r="AD139" s="508"/>
      <c r="AE139" s="509"/>
      <c r="AF139" s="5"/>
      <c r="AG139" s="4"/>
      <c r="AH139" s="507"/>
      <c r="AI139" s="508"/>
      <c r="AJ139" s="508"/>
      <c r="AK139" s="508"/>
      <c r="AL139" s="508"/>
      <c r="AM139" s="508"/>
      <c r="AN139" s="508"/>
      <c r="AO139" s="508"/>
      <c r="AP139" s="508"/>
      <c r="AQ139" s="508"/>
      <c r="AR139" s="508"/>
      <c r="AS139" s="508"/>
      <c r="AT139" s="508"/>
      <c r="AU139" s="508"/>
      <c r="AV139" s="508"/>
      <c r="AW139" s="508"/>
      <c r="AX139" s="508"/>
      <c r="AY139" s="508"/>
      <c r="AZ139" s="508"/>
      <c r="BA139" s="508"/>
      <c r="BB139" s="508"/>
      <c r="BC139" s="508"/>
      <c r="BD139" s="508"/>
      <c r="BE139" s="508"/>
      <c r="BF139" s="508"/>
      <c r="BG139" s="508"/>
      <c r="BH139" s="508"/>
      <c r="BI139" s="508"/>
      <c r="BJ139" s="508"/>
      <c r="BK139" s="509"/>
      <c r="BL139" s="5"/>
      <c r="BM139" s="4"/>
      <c r="BN139" s="507"/>
      <c r="BO139" s="508"/>
      <c r="BP139" s="508"/>
      <c r="BQ139" s="508"/>
      <c r="BR139" s="508"/>
      <c r="BS139" s="508"/>
      <c r="BT139" s="508"/>
      <c r="BU139" s="508"/>
      <c r="BV139" s="508"/>
      <c r="BW139" s="508"/>
      <c r="BX139" s="508"/>
      <c r="BY139" s="508"/>
      <c r="BZ139" s="508"/>
      <c r="CA139" s="508"/>
      <c r="CB139" s="508"/>
      <c r="CC139" s="508"/>
      <c r="CD139" s="508"/>
      <c r="CE139" s="508"/>
      <c r="CF139" s="508"/>
      <c r="CG139" s="508"/>
      <c r="CH139" s="508"/>
      <c r="CI139" s="508"/>
      <c r="CJ139" s="508"/>
      <c r="CK139" s="508"/>
      <c r="CL139" s="508"/>
      <c r="CM139" s="508"/>
      <c r="CN139" s="508"/>
      <c r="CO139" s="508"/>
      <c r="CP139" s="508"/>
      <c r="CQ139" s="509"/>
      <c r="CR139" s="5"/>
    </row>
    <row r="140" spans="1:96" ht="12" customHeight="1" x14ac:dyDescent="0.3">
      <c r="A140" s="4"/>
      <c r="B140" s="507"/>
      <c r="C140" s="508"/>
      <c r="D140" s="508"/>
      <c r="E140" s="508"/>
      <c r="F140" s="508"/>
      <c r="G140" s="508"/>
      <c r="H140" s="508"/>
      <c r="I140" s="508"/>
      <c r="J140" s="508"/>
      <c r="K140" s="508"/>
      <c r="L140" s="508"/>
      <c r="M140" s="508"/>
      <c r="N140" s="508"/>
      <c r="O140" s="508"/>
      <c r="P140" s="508"/>
      <c r="Q140" s="508"/>
      <c r="R140" s="508"/>
      <c r="S140" s="508"/>
      <c r="T140" s="508"/>
      <c r="U140" s="508"/>
      <c r="V140" s="508"/>
      <c r="W140" s="508"/>
      <c r="X140" s="508"/>
      <c r="Y140" s="508"/>
      <c r="Z140" s="508"/>
      <c r="AA140" s="508"/>
      <c r="AB140" s="508"/>
      <c r="AC140" s="508"/>
      <c r="AD140" s="508"/>
      <c r="AE140" s="509"/>
      <c r="AF140" s="5"/>
      <c r="AG140" s="4"/>
      <c r="AH140" s="507"/>
      <c r="AI140" s="508"/>
      <c r="AJ140" s="508"/>
      <c r="AK140" s="508"/>
      <c r="AL140" s="508"/>
      <c r="AM140" s="508"/>
      <c r="AN140" s="508"/>
      <c r="AO140" s="508"/>
      <c r="AP140" s="508"/>
      <c r="AQ140" s="508"/>
      <c r="AR140" s="508"/>
      <c r="AS140" s="508"/>
      <c r="AT140" s="508"/>
      <c r="AU140" s="508"/>
      <c r="AV140" s="508"/>
      <c r="AW140" s="508"/>
      <c r="AX140" s="508"/>
      <c r="AY140" s="508"/>
      <c r="AZ140" s="508"/>
      <c r="BA140" s="508"/>
      <c r="BB140" s="508"/>
      <c r="BC140" s="508"/>
      <c r="BD140" s="508"/>
      <c r="BE140" s="508"/>
      <c r="BF140" s="508"/>
      <c r="BG140" s="508"/>
      <c r="BH140" s="508"/>
      <c r="BI140" s="508"/>
      <c r="BJ140" s="508"/>
      <c r="BK140" s="509"/>
      <c r="BL140" s="5"/>
      <c r="BM140" s="4"/>
      <c r="BN140" s="507"/>
      <c r="BO140" s="508"/>
      <c r="BP140" s="508"/>
      <c r="BQ140" s="508"/>
      <c r="BR140" s="508"/>
      <c r="BS140" s="508"/>
      <c r="BT140" s="508"/>
      <c r="BU140" s="508"/>
      <c r="BV140" s="508"/>
      <c r="BW140" s="508"/>
      <c r="BX140" s="508"/>
      <c r="BY140" s="508"/>
      <c r="BZ140" s="508"/>
      <c r="CA140" s="508"/>
      <c r="CB140" s="508"/>
      <c r="CC140" s="508"/>
      <c r="CD140" s="508"/>
      <c r="CE140" s="508"/>
      <c r="CF140" s="508"/>
      <c r="CG140" s="508"/>
      <c r="CH140" s="508"/>
      <c r="CI140" s="508"/>
      <c r="CJ140" s="508"/>
      <c r="CK140" s="508"/>
      <c r="CL140" s="508"/>
      <c r="CM140" s="508"/>
      <c r="CN140" s="508"/>
      <c r="CO140" s="508"/>
      <c r="CP140" s="508"/>
      <c r="CQ140" s="509"/>
      <c r="CR140" s="5"/>
    </row>
    <row r="141" spans="1:96" ht="12" customHeight="1" x14ac:dyDescent="0.3">
      <c r="A141" s="31"/>
      <c r="B141" s="507"/>
      <c r="C141" s="508"/>
      <c r="D141" s="508"/>
      <c r="E141" s="508"/>
      <c r="F141" s="508"/>
      <c r="G141" s="508"/>
      <c r="H141" s="508"/>
      <c r="I141" s="508"/>
      <c r="J141" s="508"/>
      <c r="K141" s="508"/>
      <c r="L141" s="508"/>
      <c r="M141" s="508"/>
      <c r="N141" s="508"/>
      <c r="O141" s="508"/>
      <c r="P141" s="508"/>
      <c r="Q141" s="508"/>
      <c r="R141" s="508"/>
      <c r="S141" s="508"/>
      <c r="T141" s="508"/>
      <c r="U141" s="508"/>
      <c r="V141" s="508"/>
      <c r="W141" s="508"/>
      <c r="X141" s="508"/>
      <c r="Y141" s="508"/>
      <c r="Z141" s="508"/>
      <c r="AA141" s="508"/>
      <c r="AB141" s="508"/>
      <c r="AC141" s="508"/>
      <c r="AD141" s="508"/>
      <c r="AE141" s="509"/>
      <c r="AF141" s="32"/>
      <c r="AG141" s="31"/>
      <c r="AH141" s="507"/>
      <c r="AI141" s="508"/>
      <c r="AJ141" s="508"/>
      <c r="AK141" s="508"/>
      <c r="AL141" s="508"/>
      <c r="AM141" s="508"/>
      <c r="AN141" s="508"/>
      <c r="AO141" s="508"/>
      <c r="AP141" s="508"/>
      <c r="AQ141" s="508"/>
      <c r="AR141" s="508"/>
      <c r="AS141" s="508"/>
      <c r="AT141" s="508"/>
      <c r="AU141" s="508"/>
      <c r="AV141" s="508"/>
      <c r="AW141" s="508"/>
      <c r="AX141" s="508"/>
      <c r="AY141" s="508"/>
      <c r="AZ141" s="508"/>
      <c r="BA141" s="508"/>
      <c r="BB141" s="508"/>
      <c r="BC141" s="508"/>
      <c r="BD141" s="508"/>
      <c r="BE141" s="508"/>
      <c r="BF141" s="508"/>
      <c r="BG141" s="508"/>
      <c r="BH141" s="508"/>
      <c r="BI141" s="508"/>
      <c r="BJ141" s="508"/>
      <c r="BK141" s="509"/>
      <c r="BL141" s="32"/>
      <c r="BM141" s="31"/>
      <c r="BN141" s="507"/>
      <c r="BO141" s="508"/>
      <c r="BP141" s="508"/>
      <c r="BQ141" s="508"/>
      <c r="BR141" s="508"/>
      <c r="BS141" s="508"/>
      <c r="BT141" s="508"/>
      <c r="BU141" s="508"/>
      <c r="BV141" s="508"/>
      <c r="BW141" s="508"/>
      <c r="BX141" s="508"/>
      <c r="BY141" s="508"/>
      <c r="BZ141" s="508"/>
      <c r="CA141" s="508"/>
      <c r="CB141" s="508"/>
      <c r="CC141" s="508"/>
      <c r="CD141" s="508"/>
      <c r="CE141" s="508"/>
      <c r="CF141" s="508"/>
      <c r="CG141" s="508"/>
      <c r="CH141" s="508"/>
      <c r="CI141" s="508"/>
      <c r="CJ141" s="508"/>
      <c r="CK141" s="508"/>
      <c r="CL141" s="508"/>
      <c r="CM141" s="508"/>
      <c r="CN141" s="508"/>
      <c r="CO141" s="508"/>
      <c r="CP141" s="508"/>
      <c r="CQ141" s="509"/>
      <c r="CR141" s="32"/>
    </row>
    <row r="142" spans="1:96" ht="12" customHeight="1" x14ac:dyDescent="0.3">
      <c r="A142" s="31"/>
      <c r="B142" s="507"/>
      <c r="C142" s="508"/>
      <c r="D142" s="508"/>
      <c r="E142" s="508"/>
      <c r="F142" s="508"/>
      <c r="G142" s="508"/>
      <c r="H142" s="508"/>
      <c r="I142" s="508"/>
      <c r="J142" s="508"/>
      <c r="K142" s="508"/>
      <c r="L142" s="508"/>
      <c r="M142" s="508"/>
      <c r="N142" s="508"/>
      <c r="O142" s="508"/>
      <c r="P142" s="508"/>
      <c r="Q142" s="508"/>
      <c r="R142" s="508"/>
      <c r="S142" s="508"/>
      <c r="T142" s="508"/>
      <c r="U142" s="508"/>
      <c r="V142" s="508"/>
      <c r="W142" s="508"/>
      <c r="X142" s="508"/>
      <c r="Y142" s="508"/>
      <c r="Z142" s="508"/>
      <c r="AA142" s="508"/>
      <c r="AB142" s="508"/>
      <c r="AC142" s="508"/>
      <c r="AD142" s="508"/>
      <c r="AE142" s="509"/>
      <c r="AF142" s="32"/>
      <c r="AG142" s="31"/>
      <c r="AH142" s="507"/>
      <c r="AI142" s="508"/>
      <c r="AJ142" s="508"/>
      <c r="AK142" s="508"/>
      <c r="AL142" s="508"/>
      <c r="AM142" s="508"/>
      <c r="AN142" s="508"/>
      <c r="AO142" s="508"/>
      <c r="AP142" s="508"/>
      <c r="AQ142" s="508"/>
      <c r="AR142" s="508"/>
      <c r="AS142" s="508"/>
      <c r="AT142" s="508"/>
      <c r="AU142" s="508"/>
      <c r="AV142" s="508"/>
      <c r="AW142" s="508"/>
      <c r="AX142" s="508"/>
      <c r="AY142" s="508"/>
      <c r="AZ142" s="508"/>
      <c r="BA142" s="508"/>
      <c r="BB142" s="508"/>
      <c r="BC142" s="508"/>
      <c r="BD142" s="508"/>
      <c r="BE142" s="508"/>
      <c r="BF142" s="508"/>
      <c r="BG142" s="508"/>
      <c r="BH142" s="508"/>
      <c r="BI142" s="508"/>
      <c r="BJ142" s="508"/>
      <c r="BK142" s="509"/>
      <c r="BL142" s="32"/>
      <c r="BM142" s="31"/>
      <c r="BN142" s="507"/>
      <c r="BO142" s="508"/>
      <c r="BP142" s="508"/>
      <c r="BQ142" s="508"/>
      <c r="BR142" s="508"/>
      <c r="BS142" s="508"/>
      <c r="BT142" s="508"/>
      <c r="BU142" s="508"/>
      <c r="BV142" s="508"/>
      <c r="BW142" s="508"/>
      <c r="BX142" s="508"/>
      <c r="BY142" s="508"/>
      <c r="BZ142" s="508"/>
      <c r="CA142" s="508"/>
      <c r="CB142" s="508"/>
      <c r="CC142" s="508"/>
      <c r="CD142" s="508"/>
      <c r="CE142" s="508"/>
      <c r="CF142" s="508"/>
      <c r="CG142" s="508"/>
      <c r="CH142" s="508"/>
      <c r="CI142" s="508"/>
      <c r="CJ142" s="508"/>
      <c r="CK142" s="508"/>
      <c r="CL142" s="508"/>
      <c r="CM142" s="508"/>
      <c r="CN142" s="508"/>
      <c r="CO142" s="508"/>
      <c r="CP142" s="508"/>
      <c r="CQ142" s="509"/>
      <c r="CR142" s="32"/>
    </row>
    <row r="143" spans="1:96" ht="12" customHeight="1" x14ac:dyDescent="0.3">
      <c r="A143" s="85"/>
      <c r="B143" s="510"/>
      <c r="C143" s="511"/>
      <c r="D143" s="511"/>
      <c r="E143" s="511"/>
      <c r="F143" s="511"/>
      <c r="G143" s="511"/>
      <c r="H143" s="511"/>
      <c r="I143" s="511"/>
      <c r="J143" s="511"/>
      <c r="K143" s="511"/>
      <c r="L143" s="511"/>
      <c r="M143" s="511"/>
      <c r="N143" s="511"/>
      <c r="O143" s="511"/>
      <c r="P143" s="511"/>
      <c r="Q143" s="511"/>
      <c r="R143" s="511"/>
      <c r="S143" s="511"/>
      <c r="T143" s="511"/>
      <c r="U143" s="511"/>
      <c r="V143" s="511"/>
      <c r="W143" s="511"/>
      <c r="X143" s="511"/>
      <c r="Y143" s="511"/>
      <c r="Z143" s="511"/>
      <c r="AA143" s="511"/>
      <c r="AB143" s="511"/>
      <c r="AC143" s="511"/>
      <c r="AD143" s="511"/>
      <c r="AE143" s="512"/>
      <c r="AF143" s="86"/>
      <c r="AG143" s="85"/>
      <c r="AH143" s="510"/>
      <c r="AI143" s="511"/>
      <c r="AJ143" s="511"/>
      <c r="AK143" s="511"/>
      <c r="AL143" s="511"/>
      <c r="AM143" s="511"/>
      <c r="AN143" s="511"/>
      <c r="AO143" s="511"/>
      <c r="AP143" s="511"/>
      <c r="AQ143" s="511"/>
      <c r="AR143" s="511"/>
      <c r="AS143" s="511"/>
      <c r="AT143" s="511"/>
      <c r="AU143" s="511"/>
      <c r="AV143" s="511"/>
      <c r="AW143" s="511"/>
      <c r="AX143" s="511"/>
      <c r="AY143" s="511"/>
      <c r="AZ143" s="511"/>
      <c r="BA143" s="511"/>
      <c r="BB143" s="511"/>
      <c r="BC143" s="511"/>
      <c r="BD143" s="511"/>
      <c r="BE143" s="511"/>
      <c r="BF143" s="511"/>
      <c r="BG143" s="511"/>
      <c r="BH143" s="511"/>
      <c r="BI143" s="511"/>
      <c r="BJ143" s="511"/>
      <c r="BK143" s="512"/>
      <c r="BL143" s="86"/>
      <c r="BM143" s="85"/>
      <c r="BN143" s="510"/>
      <c r="BO143" s="511"/>
      <c r="BP143" s="511"/>
      <c r="BQ143" s="511"/>
      <c r="BR143" s="511"/>
      <c r="BS143" s="511"/>
      <c r="BT143" s="511"/>
      <c r="BU143" s="511"/>
      <c r="BV143" s="511"/>
      <c r="BW143" s="511"/>
      <c r="BX143" s="511"/>
      <c r="BY143" s="511"/>
      <c r="BZ143" s="511"/>
      <c r="CA143" s="511"/>
      <c r="CB143" s="511"/>
      <c r="CC143" s="511"/>
      <c r="CD143" s="511"/>
      <c r="CE143" s="511"/>
      <c r="CF143" s="511"/>
      <c r="CG143" s="511"/>
      <c r="CH143" s="511"/>
      <c r="CI143" s="511"/>
      <c r="CJ143" s="511"/>
      <c r="CK143" s="511"/>
      <c r="CL143" s="511"/>
      <c r="CM143" s="511"/>
      <c r="CN143" s="511"/>
      <c r="CO143" s="511"/>
      <c r="CP143" s="511"/>
      <c r="CQ143" s="512"/>
      <c r="CR143" s="86"/>
    </row>
    <row r="144" spans="1:96" ht="12" customHeight="1" thickBot="1" x14ac:dyDescent="0.35">
      <c r="A144" s="8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88"/>
      <c r="AG144" s="8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88"/>
      <c r="BM144" s="8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88"/>
    </row>
    <row r="145" ht="12" customHeight="1" x14ac:dyDescent="0.3"/>
  </sheetData>
  <sheetProtection algorithmName="SHA-512" hashValue="jO3I6Es/NO9ch2oxivjIcfskFoEBkaD7AvIHO5cHMayJWJT0xZYwVsKzpuy23LCnJsMn2pqQscsb184qIZyrWA==" saltValue="Jwr+vZVAB+e5h9d029J6yg==" spinCount="100000" sheet="1" formatCells="0" selectLockedCells="1"/>
  <mergeCells count="238">
    <mergeCell ref="CL82:CR82"/>
    <mergeCell ref="H83:J83"/>
    <mergeCell ref="AN83:AP83"/>
    <mergeCell ref="B85:O87"/>
    <mergeCell ref="R85:AE87"/>
    <mergeCell ref="AH84:AU84"/>
    <mergeCell ref="AX84:BK84"/>
    <mergeCell ref="AH85:AU87"/>
    <mergeCell ref="AX85:BK87"/>
    <mergeCell ref="A82:G82"/>
    <mergeCell ref="H82:Y82"/>
    <mergeCell ref="Z82:AF82"/>
    <mergeCell ref="AG82:AM82"/>
    <mergeCell ref="AN82:BE82"/>
    <mergeCell ref="BF82:BL82"/>
    <mergeCell ref="BM82:BS82"/>
    <mergeCell ref="B84:O84"/>
    <mergeCell ref="R84:AE84"/>
    <mergeCell ref="BS7:CB7"/>
    <mergeCell ref="CC7:CG7"/>
    <mergeCell ref="CH7:CQ7"/>
    <mergeCell ref="BN89:CQ143"/>
    <mergeCell ref="AH89:BK143"/>
    <mergeCell ref="B89:AE143"/>
    <mergeCell ref="BN84:CA84"/>
    <mergeCell ref="CD84:CQ84"/>
    <mergeCell ref="BN85:CA87"/>
    <mergeCell ref="CD85:CQ87"/>
    <mergeCell ref="BN79:BR79"/>
    <mergeCell ref="BS79:CB79"/>
    <mergeCell ref="CC79:CG79"/>
    <mergeCell ref="CH79:CQ79"/>
    <mergeCell ref="BN80:BR80"/>
    <mergeCell ref="BS80:CB80"/>
    <mergeCell ref="CC80:CG80"/>
    <mergeCell ref="CH80:CQ80"/>
    <mergeCell ref="B80:F80"/>
    <mergeCell ref="G80:P80"/>
    <mergeCell ref="Q80:U80"/>
    <mergeCell ref="V80:AE80"/>
    <mergeCell ref="AW79:BA79"/>
    <mergeCell ref="BT82:CK82"/>
    <mergeCell ref="AH7:AL7"/>
    <mergeCell ref="AM7:AV7"/>
    <mergeCell ref="AW7:BA7"/>
    <mergeCell ref="BB7:BK7"/>
    <mergeCell ref="AH8:AL8"/>
    <mergeCell ref="AM8:AV8"/>
    <mergeCell ref="AW8:BA8"/>
    <mergeCell ref="BB8:BK8"/>
    <mergeCell ref="BN7:BR7"/>
    <mergeCell ref="CT12:DG12"/>
    <mergeCell ref="DJ12:DW12"/>
    <mergeCell ref="CT13:DG15"/>
    <mergeCell ref="DJ13:DW15"/>
    <mergeCell ref="CT17:DW71"/>
    <mergeCell ref="BN12:CA12"/>
    <mergeCell ref="BN8:BR8"/>
    <mergeCell ref="BS8:CB8"/>
    <mergeCell ref="BN17:CQ71"/>
    <mergeCell ref="CD12:CQ12"/>
    <mergeCell ref="CC8:CG8"/>
    <mergeCell ref="CH8:CQ8"/>
    <mergeCell ref="DN7:DW7"/>
    <mergeCell ref="CT8:CX8"/>
    <mergeCell ref="CY8:DH8"/>
    <mergeCell ref="DI8:DM8"/>
    <mergeCell ref="CS1:DP2"/>
    <mergeCell ref="CS3:CW3"/>
    <mergeCell ref="CX3:DJ3"/>
    <mergeCell ref="CS4:CW4"/>
    <mergeCell ref="CX4:DC4"/>
    <mergeCell ref="DD4:DJ4"/>
    <mergeCell ref="DK3:DM3"/>
    <mergeCell ref="DN3:DP3"/>
    <mergeCell ref="DQ1:DX3"/>
    <mergeCell ref="DR4:DU5"/>
    <mergeCell ref="DV4:DW5"/>
    <mergeCell ref="DK4:DP4"/>
    <mergeCell ref="CS5:CW5"/>
    <mergeCell ref="CX5:DC5"/>
    <mergeCell ref="DD5:DJ5"/>
    <mergeCell ref="DK5:DP5"/>
    <mergeCell ref="DN8:DW8"/>
    <mergeCell ref="CT7:CX7"/>
    <mergeCell ref="CY7:DH7"/>
    <mergeCell ref="DI7:DM7"/>
    <mergeCell ref="A1:X2"/>
    <mergeCell ref="A3:E3"/>
    <mergeCell ref="F3:R3"/>
    <mergeCell ref="A4:E4"/>
    <mergeCell ref="F4:K4"/>
    <mergeCell ref="AG10:AM10"/>
    <mergeCell ref="S3:U3"/>
    <mergeCell ref="AG1:BD2"/>
    <mergeCell ref="BR4:BW4"/>
    <mergeCell ref="BM1:CJ2"/>
    <mergeCell ref="CE3:CG3"/>
    <mergeCell ref="CH3:CJ3"/>
    <mergeCell ref="H10:Y10"/>
    <mergeCell ref="AY4:BD4"/>
    <mergeCell ref="AG5:AK5"/>
    <mergeCell ref="AL5:AQ5"/>
    <mergeCell ref="AR5:AX5"/>
    <mergeCell ref="AY5:BD5"/>
    <mergeCell ref="G7:P7"/>
    <mergeCell ref="Q7:U7"/>
    <mergeCell ref="V7:AE7"/>
    <mergeCell ref="S4:X4"/>
    <mergeCell ref="A10:G10"/>
    <mergeCell ref="Z10:AF10"/>
    <mergeCell ref="L5:R5"/>
    <mergeCell ref="S5:X5"/>
    <mergeCell ref="B12:O12"/>
    <mergeCell ref="R12:AE12"/>
    <mergeCell ref="AG3:AK3"/>
    <mergeCell ref="AL3:AX3"/>
    <mergeCell ref="AG4:AK4"/>
    <mergeCell ref="AL4:AQ4"/>
    <mergeCell ref="AR4:AX4"/>
    <mergeCell ref="B7:F7"/>
    <mergeCell ref="V3:X3"/>
    <mergeCell ref="L4:R4"/>
    <mergeCell ref="B8:F8"/>
    <mergeCell ref="G8:P8"/>
    <mergeCell ref="Q8:U8"/>
    <mergeCell ref="A5:E5"/>
    <mergeCell ref="F5:K5"/>
    <mergeCell ref="V8:AE8"/>
    <mergeCell ref="H11:J11"/>
    <mergeCell ref="AN10:BE10"/>
    <mergeCell ref="Y1:AF3"/>
    <mergeCell ref="Z4:AC5"/>
    <mergeCell ref="AD4:AE5"/>
    <mergeCell ref="BE1:BL3"/>
    <mergeCell ref="BT83:BV83"/>
    <mergeCell ref="AG77:AK77"/>
    <mergeCell ref="AL77:AQ77"/>
    <mergeCell ref="AR77:AX77"/>
    <mergeCell ref="AH80:AL80"/>
    <mergeCell ref="AM80:AV80"/>
    <mergeCell ref="AW80:BA80"/>
    <mergeCell ref="BB80:BK80"/>
    <mergeCell ref="R13:AE15"/>
    <mergeCell ref="Z76:AC77"/>
    <mergeCell ref="AD76:AE77"/>
    <mergeCell ref="BF76:BI77"/>
    <mergeCell ref="BJ76:BK77"/>
    <mergeCell ref="AH13:AU15"/>
    <mergeCell ref="AY77:BD77"/>
    <mergeCell ref="B17:AE71"/>
    <mergeCell ref="AH17:BK71"/>
    <mergeCell ref="B13:O15"/>
    <mergeCell ref="S75:U75"/>
    <mergeCell ref="V75:X75"/>
    <mergeCell ref="AY75:BA75"/>
    <mergeCell ref="BB75:BD75"/>
    <mergeCell ref="A73:X74"/>
    <mergeCell ref="BE73:BL75"/>
    <mergeCell ref="A75:E75"/>
    <mergeCell ref="AG73:BD74"/>
    <mergeCell ref="AG75:AK75"/>
    <mergeCell ref="AL75:AX75"/>
    <mergeCell ref="F75:R75"/>
    <mergeCell ref="B79:F79"/>
    <mergeCell ref="G79:P79"/>
    <mergeCell ref="Q79:U79"/>
    <mergeCell ref="V79:AE79"/>
    <mergeCell ref="Y73:AF75"/>
    <mergeCell ref="A76:E76"/>
    <mergeCell ref="F76:K76"/>
    <mergeCell ref="L76:R76"/>
    <mergeCell ref="S76:X76"/>
    <mergeCell ref="AY76:BD76"/>
    <mergeCell ref="AG76:AK76"/>
    <mergeCell ref="AL76:AQ76"/>
    <mergeCell ref="S77:X77"/>
    <mergeCell ref="AR76:AX76"/>
    <mergeCell ref="A77:E77"/>
    <mergeCell ref="F77:K77"/>
    <mergeCell ref="AH79:AL79"/>
    <mergeCell ref="AM79:AV79"/>
    <mergeCell ref="L77:R77"/>
    <mergeCell ref="BB79:BK79"/>
    <mergeCell ref="EH9:EJ9"/>
    <mergeCell ref="EH10:EJ10"/>
    <mergeCell ref="EH11:EJ11"/>
    <mergeCell ref="EH12:EJ12"/>
    <mergeCell ref="EH14:EJ14"/>
    <mergeCell ref="EH15:EJ15"/>
    <mergeCell ref="EH16:EJ16"/>
    <mergeCell ref="DR10:DX10"/>
    <mergeCell ref="AN11:AP11"/>
    <mergeCell ref="BT11:BV11"/>
    <mergeCell ref="CZ11:DB11"/>
    <mergeCell ref="CS10:CY10"/>
    <mergeCell ref="CZ10:DQ10"/>
    <mergeCell ref="BT10:CK10"/>
    <mergeCell ref="CL10:CR10"/>
    <mergeCell ref="CD13:CQ15"/>
    <mergeCell ref="BM73:CJ74"/>
    <mergeCell ref="BM75:BQ75"/>
    <mergeCell ref="BR75:CD75"/>
    <mergeCell ref="CE76:CJ76"/>
    <mergeCell ref="BF10:BL10"/>
    <mergeCell ref="BM10:BS10"/>
    <mergeCell ref="AX13:BK15"/>
    <mergeCell ref="BN13:CA15"/>
    <mergeCell ref="AH12:AU12"/>
    <mergeCell ref="AX12:BK12"/>
    <mergeCell ref="CK73:CR75"/>
    <mergeCell ref="CL76:CO77"/>
    <mergeCell ref="CP76:CQ77"/>
    <mergeCell ref="CE77:CJ77"/>
    <mergeCell ref="BM77:BQ77"/>
    <mergeCell ref="BR77:BW77"/>
    <mergeCell ref="BX77:CD77"/>
    <mergeCell ref="BR76:BW76"/>
    <mergeCell ref="BX76:CD76"/>
    <mergeCell ref="CE75:CG75"/>
    <mergeCell ref="CH75:CJ75"/>
    <mergeCell ref="BM76:BQ76"/>
    <mergeCell ref="BF4:BI5"/>
    <mergeCell ref="BJ4:BK5"/>
    <mergeCell ref="CK1:CR3"/>
    <mergeCell ref="CL4:CO5"/>
    <mergeCell ref="CP4:CQ5"/>
    <mergeCell ref="AY3:BA3"/>
    <mergeCell ref="BB3:BD3"/>
    <mergeCell ref="BX4:CD4"/>
    <mergeCell ref="BM3:BQ3"/>
    <mergeCell ref="BR3:CD3"/>
    <mergeCell ref="CE4:CJ4"/>
    <mergeCell ref="BM5:BQ5"/>
    <mergeCell ref="BR5:BW5"/>
    <mergeCell ref="BX5:CD5"/>
    <mergeCell ref="CE5:CJ5"/>
    <mergeCell ref="BM4:BQ4"/>
  </mergeCells>
  <conditionalFormatting sqref="A10:G10">
    <cfRule type="expression" dxfId="94" priority="98">
      <formula>IF($H$11="WAHR",$L$11,"")</formula>
    </cfRule>
  </conditionalFormatting>
  <conditionalFormatting sqref="A82:G82">
    <cfRule type="expression" dxfId="93" priority="1">
      <formula>IF($H$11="WAHR",$L$11,"")</formula>
    </cfRule>
  </conditionalFormatting>
  <conditionalFormatting sqref="B12:O12">
    <cfRule type="expression" dxfId="92" priority="23">
      <formula>ISBLANK($B$13)</formula>
    </cfRule>
  </conditionalFormatting>
  <conditionalFormatting sqref="B13:O15">
    <cfRule type="cellIs" dxfId="91" priority="31" operator="equal">
      <formula>""</formula>
    </cfRule>
  </conditionalFormatting>
  <conditionalFormatting sqref="B84:O84">
    <cfRule type="expression" dxfId="90" priority="15">
      <formula>ISBLANK($B$85)</formula>
    </cfRule>
  </conditionalFormatting>
  <conditionalFormatting sqref="B85:O87 R85:AE87 AH85:AU87 AX85:BK87 BN85:CA87 CD85:CQ87">
    <cfRule type="cellIs" dxfId="89" priority="24" operator="equal">
      <formula>""</formula>
    </cfRule>
  </conditionalFormatting>
  <conditionalFormatting sqref="F3:R3 AL3:AX3 BR3:CD3 CX3:DJ3 F4:K4 AL4:AQ4 BR4:BW4 CX4:DC4">
    <cfRule type="cellIs" dxfId="88" priority="8" operator="equal">
      <formula>""</formula>
    </cfRule>
  </conditionalFormatting>
  <conditionalFormatting sqref="F75:R75 V75:X75 AL75:AX75 BB75:BD75 BR75:CD75 CH75:CJ75 F76:K76 AL76:AQ76 BR76:BW76">
    <cfRule type="cellIs" dxfId="87" priority="7" operator="equal">
      <formula>""</formula>
    </cfRule>
  </conditionalFormatting>
  <conditionalFormatting sqref="G7:P8 V7:AE8">
    <cfRule type="cellIs" dxfId="86" priority="166" operator="equal">
      <formula>""</formula>
    </cfRule>
  </conditionalFormatting>
  <conditionalFormatting sqref="G79:P80 V79:AE80">
    <cfRule type="cellIs" dxfId="85" priority="160" operator="equal">
      <formula>""</formula>
    </cfRule>
  </conditionalFormatting>
  <conditionalFormatting sqref="H10">
    <cfRule type="cellIs" dxfId="84" priority="99" operator="equal">
      <formula>""</formula>
    </cfRule>
  </conditionalFormatting>
  <conditionalFormatting sqref="H82">
    <cfRule type="cellIs" dxfId="83" priority="91" operator="equal">
      <formula>""</formula>
    </cfRule>
  </conditionalFormatting>
  <conditionalFormatting sqref="R12:AE12">
    <cfRule type="expression" dxfId="82" priority="22">
      <formula>ISBLANK($R$13)</formula>
    </cfRule>
  </conditionalFormatting>
  <conditionalFormatting sqref="R13:AE15">
    <cfRule type="cellIs" dxfId="81" priority="29" operator="equal">
      <formula>""</formula>
    </cfRule>
  </conditionalFormatting>
  <conditionalFormatting sqref="R84:AE84">
    <cfRule type="expression" dxfId="80" priority="14">
      <formula>ISBLANK($R$85)</formula>
    </cfRule>
  </conditionalFormatting>
  <conditionalFormatting sqref="S4:X5 F5">
    <cfRule type="cellIs" dxfId="79" priority="167" operator="equal">
      <formula>""</formula>
    </cfRule>
  </conditionalFormatting>
  <conditionalFormatting sqref="S76:X77 F77">
    <cfRule type="cellIs" dxfId="78" priority="161" operator="equal">
      <formula>""</formula>
    </cfRule>
  </conditionalFormatting>
  <conditionalFormatting sqref="V3:X3 BB3:BD3 CH3:CJ3 DN3:DP3">
    <cfRule type="cellIs" dxfId="77" priority="9" operator="equal">
      <formula>""</formula>
    </cfRule>
  </conditionalFormatting>
  <conditionalFormatting sqref="AG10:AM10">
    <cfRule type="expression" dxfId="76" priority="6">
      <formula>IF($H$11="WAHR",$L$11,"")</formula>
    </cfRule>
  </conditionalFormatting>
  <conditionalFormatting sqref="AG82:AM82">
    <cfRule type="expression" dxfId="75" priority="2">
      <formula>IF($H$11="WAHR",$L$11,"")</formula>
    </cfRule>
  </conditionalFormatting>
  <conditionalFormatting sqref="AH12:AU12">
    <cfRule type="expression" dxfId="74" priority="21">
      <formula>ISBLANK($AH$13)</formula>
    </cfRule>
  </conditionalFormatting>
  <conditionalFormatting sqref="AH13:AU15">
    <cfRule type="cellIs" dxfId="73" priority="28" operator="equal">
      <formula>""</formula>
    </cfRule>
  </conditionalFormatting>
  <conditionalFormatting sqref="AH84:AU84">
    <cfRule type="expression" dxfId="72" priority="13">
      <formula>ISBLANK($AH$85)</formula>
    </cfRule>
  </conditionalFormatting>
  <conditionalFormatting sqref="AM7:AV8 BB7:BK8">
    <cfRule type="cellIs" dxfId="71" priority="164" operator="equal">
      <formula>""</formula>
    </cfRule>
  </conditionalFormatting>
  <conditionalFormatting sqref="AM79:AV80 BB79:BK80">
    <cfRule type="cellIs" dxfId="70" priority="162" operator="equal">
      <formula>""</formula>
    </cfRule>
  </conditionalFormatting>
  <conditionalFormatting sqref="AN10">
    <cfRule type="cellIs" dxfId="69" priority="85" operator="equal">
      <formula>""</formula>
    </cfRule>
  </conditionalFormatting>
  <conditionalFormatting sqref="AN82">
    <cfRule type="cellIs" dxfId="68" priority="89" operator="equal">
      <formula>""</formula>
    </cfRule>
  </conditionalFormatting>
  <conditionalFormatting sqref="AX12:BK12">
    <cfRule type="expression" dxfId="67" priority="20">
      <formula>ISBLANK($AX$13)</formula>
    </cfRule>
  </conditionalFormatting>
  <conditionalFormatting sqref="AX13:BK15">
    <cfRule type="cellIs" dxfId="66" priority="27" operator="equal">
      <formula>""</formula>
    </cfRule>
  </conditionalFormatting>
  <conditionalFormatting sqref="AX84:BK84">
    <cfRule type="expression" dxfId="65" priority="12">
      <formula>ISBLANK($AX$85)</formula>
    </cfRule>
  </conditionalFormatting>
  <conditionalFormatting sqref="AY4:BD5 AL5">
    <cfRule type="cellIs" dxfId="64" priority="165" operator="equal">
      <formula>""</formula>
    </cfRule>
  </conditionalFormatting>
  <conditionalFormatting sqref="AY76:BD77 AL77">
    <cfRule type="cellIs" dxfId="63" priority="163" operator="equal">
      <formula>""</formula>
    </cfRule>
  </conditionalFormatting>
  <conditionalFormatting sqref="BM10:BS10">
    <cfRule type="expression" dxfId="62" priority="5">
      <formula>IF($H$11="WAHR",$L$11,"")</formula>
    </cfRule>
  </conditionalFormatting>
  <conditionalFormatting sqref="BM82:BS82">
    <cfRule type="expression" dxfId="61" priority="3">
      <formula>IF($H$11="WAHR",$L$11,"")</formula>
    </cfRule>
  </conditionalFormatting>
  <conditionalFormatting sqref="BN12:CA12">
    <cfRule type="expression" dxfId="60" priority="19">
      <formula>ISBLANK($BN$13)</formula>
    </cfRule>
  </conditionalFormatting>
  <conditionalFormatting sqref="BN13:CA15">
    <cfRule type="cellIs" dxfId="59" priority="26" operator="equal">
      <formula>""</formula>
    </cfRule>
  </conditionalFormatting>
  <conditionalFormatting sqref="BN84:CA84">
    <cfRule type="expression" dxfId="58" priority="11">
      <formula>ISBLANK($BN$85)</formula>
    </cfRule>
  </conditionalFormatting>
  <conditionalFormatting sqref="BS7:CB8 CH7:CQ8">
    <cfRule type="cellIs" dxfId="57" priority="158" operator="equal">
      <formula>""</formula>
    </cfRule>
  </conditionalFormatting>
  <conditionalFormatting sqref="BS79:CB80 CH79:CQ80">
    <cfRule type="cellIs" dxfId="56" priority="156" operator="equal">
      <formula>""</formula>
    </cfRule>
  </conditionalFormatting>
  <conditionalFormatting sqref="BT10">
    <cfRule type="cellIs" dxfId="55" priority="83" operator="equal">
      <formula>""</formula>
    </cfRule>
  </conditionalFormatting>
  <conditionalFormatting sqref="BT82">
    <cfRule type="cellIs" dxfId="54" priority="87" operator="equal">
      <formula>""</formula>
    </cfRule>
  </conditionalFormatting>
  <conditionalFormatting sqref="CD12:CQ12">
    <cfRule type="expression" dxfId="53" priority="18">
      <formula>ISBLANK($CD$13)</formula>
    </cfRule>
  </conditionalFormatting>
  <conditionalFormatting sqref="CD13:CQ15 CT13:DG15 DJ13:DW15">
    <cfRule type="cellIs" dxfId="52" priority="25" operator="equal">
      <formula>""</formula>
    </cfRule>
  </conditionalFormatting>
  <conditionalFormatting sqref="CD84:CQ84">
    <cfRule type="expression" dxfId="51" priority="10">
      <formula>ISBLANK($CD$85)</formula>
    </cfRule>
  </conditionalFormatting>
  <conditionalFormatting sqref="CE4:CJ5 BR5">
    <cfRule type="cellIs" dxfId="50" priority="159" operator="equal">
      <formula>""</formula>
    </cfRule>
  </conditionalFormatting>
  <conditionalFormatting sqref="CE76:CJ77 BR77">
    <cfRule type="cellIs" dxfId="49" priority="157" operator="equal">
      <formula>""</formula>
    </cfRule>
  </conditionalFormatting>
  <conditionalFormatting sqref="CS10:CY10">
    <cfRule type="expression" dxfId="48" priority="4">
      <formula>IF($H$11="WAHR",$L$11,"")</formula>
    </cfRule>
  </conditionalFormatting>
  <conditionalFormatting sqref="CT12:DG12">
    <cfRule type="expression" dxfId="47" priority="17">
      <formula>ISBLANK($CT$13)</formula>
    </cfRule>
  </conditionalFormatting>
  <conditionalFormatting sqref="CY7:DH8 DN7:DW8">
    <cfRule type="cellIs" dxfId="46" priority="154" operator="equal">
      <formula>""</formula>
    </cfRule>
  </conditionalFormatting>
  <conditionalFormatting sqref="CZ10">
    <cfRule type="cellIs" dxfId="45" priority="81" operator="equal">
      <formula>""</formula>
    </cfRule>
  </conditionalFormatting>
  <conditionalFormatting sqref="DJ12:DW12">
    <cfRule type="expression" dxfId="44" priority="16">
      <formula>ISBLANK($DJ$13)</formula>
    </cfRule>
  </conditionalFormatting>
  <conditionalFormatting sqref="DK4:DP5 CX5">
    <cfRule type="cellIs" dxfId="43" priority="155" operator="equal">
      <formula>""</formula>
    </cfRule>
  </conditionalFormatting>
  <dataValidations disablePrompts="1" count="1">
    <dataValidation type="list" allowBlank="1" showInputMessage="1" showErrorMessage="1" sqref="AC9:AE9 BI9:BK9 BI81:BK81 AC81:AE81 CO9:CQ9 CO81:CQ81 DU9:DW9" xr:uid="{B9D8A25C-D32B-40B8-88DE-E99C43A5A484}">
      <formula1>#REF!</formula1>
    </dataValidation>
  </dataValidations>
  <pageMargins left="0.31496062992125984" right="0.31496062992125984" top="0.31496062992125984" bottom="0.31496062992125984" header="0" footer="0"/>
  <pageSetup paperSize="9" scale="90" fitToWidth="0" fitToHeight="0"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86D7-1EDF-4442-BB3C-6EE9B440FD66}">
  <sheetPr codeName="Tabelle6">
    <tabColor theme="5" tint="0.59999389629810485"/>
  </sheetPr>
  <dimension ref="B1:BT58"/>
  <sheetViews>
    <sheetView showGridLines="0" zoomScaleNormal="100" zoomScaleSheetLayoutView="130" workbookViewId="0">
      <selection activeCell="C11" sqref="C11:BG57"/>
    </sheetView>
  </sheetViews>
  <sheetFormatPr baseColWidth="10" defaultColWidth="10.88671875" defaultRowHeight="14.4" x14ac:dyDescent="0.3"/>
  <cols>
    <col min="2" max="6" width="3.33203125" customWidth="1"/>
    <col min="7" max="61" width="3.33203125" style="7" customWidth="1"/>
    <col min="72" max="72" width="11.5546875" style="72"/>
  </cols>
  <sheetData>
    <row r="1" spans="2:72" ht="12" customHeight="1" x14ac:dyDescent="0.3">
      <c r="B1" s="520" t="str">
        <f>HLOOKUP(Language!$B$2,Language!$C$12:$H$656,6)</f>
        <v>ELS:840 01 04
EOT:4 1021 03-02T
PEL:100 02 03</v>
      </c>
      <c r="C1" s="521"/>
      <c r="D1" s="521"/>
      <c r="E1" s="521"/>
      <c r="F1" s="521"/>
      <c r="G1" s="521" t="str">
        <f>'D1-D3'!AE4</f>
        <v>Rev.07</v>
      </c>
      <c r="H1" s="521"/>
      <c r="I1" s="521"/>
      <c r="J1" s="521"/>
      <c r="K1" s="526"/>
      <c r="L1" s="333" t="str">
        <f>HLOOKUP(Language!$B$2,Language!$C$12:$H$656,147)</f>
        <v>Additional images</v>
      </c>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268" t="e" vm="1">
        <v>#VALUE!</v>
      </c>
      <c r="AZ1" s="269"/>
      <c r="BA1" s="269"/>
      <c r="BB1" s="269"/>
      <c r="BC1" s="269"/>
      <c r="BD1" s="269"/>
      <c r="BE1" s="269"/>
      <c r="BF1" s="269"/>
      <c r="BG1" s="269"/>
      <c r="BH1" s="270"/>
      <c r="BI1" s="8"/>
    </row>
    <row r="2" spans="2:72" ht="12" customHeight="1" x14ac:dyDescent="0.3">
      <c r="B2" s="522"/>
      <c r="C2" s="523"/>
      <c r="D2" s="523"/>
      <c r="E2" s="523"/>
      <c r="F2" s="523"/>
      <c r="G2" s="523"/>
      <c r="H2" s="523"/>
      <c r="I2" s="523"/>
      <c r="J2" s="523"/>
      <c r="K2" s="527"/>
      <c r="L2" s="514"/>
      <c r="M2" s="515"/>
      <c r="N2" s="515"/>
      <c r="O2" s="515"/>
      <c r="P2" s="515"/>
      <c r="Q2" s="515"/>
      <c r="R2" s="515"/>
      <c r="S2" s="515"/>
      <c r="T2" s="515"/>
      <c r="U2" s="515"/>
      <c r="V2" s="515"/>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271"/>
      <c r="AZ2" s="272"/>
      <c r="BA2" s="272"/>
      <c r="BB2" s="272"/>
      <c r="BC2" s="272"/>
      <c r="BD2" s="272"/>
      <c r="BE2" s="272"/>
      <c r="BF2" s="272"/>
      <c r="BG2" s="272"/>
      <c r="BH2" s="273"/>
      <c r="BI2" s="8"/>
      <c r="BK2" s="188"/>
      <c r="BL2" s="188"/>
    </row>
    <row r="3" spans="2:72" ht="12" customHeight="1" x14ac:dyDescent="0.3">
      <c r="B3" s="522"/>
      <c r="C3" s="523"/>
      <c r="D3" s="523"/>
      <c r="E3" s="523"/>
      <c r="F3" s="523"/>
      <c r="G3" s="523"/>
      <c r="H3" s="523"/>
      <c r="I3" s="523"/>
      <c r="J3" s="523"/>
      <c r="K3" s="527"/>
      <c r="L3" s="337" t="str">
        <f>HLOOKUP(Language!$B$2,Language!$C$12:$H$656,8)</f>
        <v>Contact Person (Customer):</v>
      </c>
      <c r="M3" s="338"/>
      <c r="N3" s="338"/>
      <c r="O3" s="338"/>
      <c r="P3" s="338"/>
      <c r="Q3" s="338"/>
      <c r="R3" s="338"/>
      <c r="S3" s="339"/>
      <c r="T3" s="310" t="str">
        <f>IF('D1-D3'!$G$3="","",'D1-D3'!$G$3)</f>
        <v/>
      </c>
      <c r="U3" s="311"/>
      <c r="V3" s="311"/>
      <c r="W3" s="311"/>
      <c r="X3" s="311"/>
      <c r="Y3" s="311"/>
      <c r="Z3" s="311"/>
      <c r="AA3" s="311"/>
      <c r="AB3" s="311"/>
      <c r="AC3" s="311"/>
      <c r="AD3" s="311"/>
      <c r="AE3" s="311"/>
      <c r="AF3" s="311"/>
      <c r="AG3" s="311"/>
      <c r="AH3" s="311"/>
      <c r="AI3" s="311"/>
      <c r="AJ3" s="311"/>
      <c r="AK3" s="311"/>
      <c r="AL3" s="312"/>
      <c r="AM3" s="395" t="str">
        <f>HLOOKUP(Language!$B$2,Language!$C$12:$H$656,5)</f>
        <v>8D started on:</v>
      </c>
      <c r="AN3" s="396"/>
      <c r="AO3" s="396"/>
      <c r="AP3" s="396"/>
      <c r="AQ3" s="397"/>
      <c r="AR3" s="477" t="str">
        <f>IF('D1-D3'!$W$3="","",'D1-D3'!$W$3)</f>
        <v/>
      </c>
      <c r="AS3" s="411"/>
      <c r="AT3" s="411"/>
      <c r="AU3" s="411"/>
      <c r="AV3" s="411"/>
      <c r="AW3" s="411"/>
      <c r="AX3" s="411"/>
      <c r="AY3" s="271"/>
      <c r="AZ3" s="272"/>
      <c r="BA3" s="272"/>
      <c r="BB3" s="272"/>
      <c r="BC3" s="272"/>
      <c r="BD3" s="272"/>
      <c r="BE3" s="272"/>
      <c r="BF3" s="272"/>
      <c r="BG3" s="272"/>
      <c r="BH3" s="273"/>
      <c r="BI3" s="8"/>
      <c r="BK3" s="188"/>
      <c r="BL3" s="188"/>
    </row>
    <row r="4" spans="2:72" ht="12" customHeight="1" x14ac:dyDescent="0.3">
      <c r="B4" s="522"/>
      <c r="C4" s="523"/>
      <c r="D4" s="523"/>
      <c r="E4" s="523"/>
      <c r="F4" s="523"/>
      <c r="G4" s="523"/>
      <c r="H4" s="523"/>
      <c r="I4" s="523"/>
      <c r="J4" s="523"/>
      <c r="K4" s="527"/>
      <c r="L4" s="340" t="str">
        <f>HLOOKUP(Language!$B$2,Language!$C$12:$H$656,7)</f>
        <v>Customer:</v>
      </c>
      <c r="M4" s="311"/>
      <c r="N4" s="311"/>
      <c r="O4" s="311"/>
      <c r="P4" s="311"/>
      <c r="Q4" s="311"/>
      <c r="R4" s="311"/>
      <c r="S4" s="312"/>
      <c r="T4" s="395" t="str">
        <f>IF('D1-D3'!$G$4="","",'D1-D3'!$G$4)</f>
        <v/>
      </c>
      <c r="U4" s="396"/>
      <c r="V4" s="396"/>
      <c r="W4" s="396"/>
      <c r="X4" s="396"/>
      <c r="Y4" s="396"/>
      <c r="Z4" s="396"/>
      <c r="AA4" s="396"/>
      <c r="AB4" s="396"/>
      <c r="AC4" s="397"/>
      <c r="AD4" s="310" t="str">
        <f>HLOOKUP(Language!$B$2,Language!$C$12:$H$656,15)</f>
        <v>Supplier:</v>
      </c>
      <c r="AE4" s="311"/>
      <c r="AF4" s="311"/>
      <c r="AG4" s="311"/>
      <c r="AH4" s="311"/>
      <c r="AI4" s="311"/>
      <c r="AJ4" s="311"/>
      <c r="AK4" s="311"/>
      <c r="AL4" s="312"/>
      <c r="AM4" s="395" t="str">
        <f>IF('D1-D3'!$T$4="","",'D1-D3'!$T$4)</f>
        <v/>
      </c>
      <c r="AN4" s="396"/>
      <c r="AO4" s="396"/>
      <c r="AP4" s="396"/>
      <c r="AQ4" s="396"/>
      <c r="AR4" s="396"/>
      <c r="AS4" s="396"/>
      <c r="AT4" s="396"/>
      <c r="AU4" s="396"/>
      <c r="AV4" s="396"/>
      <c r="AW4" s="396"/>
      <c r="AX4" s="396"/>
      <c r="AY4" s="271"/>
      <c r="AZ4" s="272"/>
      <c r="BA4" s="272"/>
      <c r="BB4" s="272"/>
      <c r="BC4" s="272"/>
      <c r="BD4" s="272"/>
      <c r="BE4" s="272"/>
      <c r="BF4" s="272"/>
      <c r="BG4" s="272"/>
      <c r="BH4" s="273"/>
      <c r="BI4" s="8"/>
      <c r="BT4" s="89"/>
    </row>
    <row r="5" spans="2:72" ht="12" customHeight="1" thickBot="1" x14ac:dyDescent="0.35">
      <c r="B5" s="524"/>
      <c r="C5" s="525"/>
      <c r="D5" s="525"/>
      <c r="E5" s="525"/>
      <c r="F5" s="525"/>
      <c r="G5" s="525"/>
      <c r="H5" s="525"/>
      <c r="I5" s="525"/>
      <c r="J5" s="525"/>
      <c r="K5" s="528"/>
      <c r="L5" s="516" t="str">
        <f>HLOOKUP(Language!$B$2,Language!$C$12:$H$656,9)</f>
        <v>Complaint number (Customer):</v>
      </c>
      <c r="M5" s="517"/>
      <c r="N5" s="517"/>
      <c r="O5" s="517"/>
      <c r="P5" s="517"/>
      <c r="Q5" s="517"/>
      <c r="R5" s="517"/>
      <c r="S5" s="518"/>
      <c r="T5" s="405" t="str">
        <f>IF('D1-D3'!$G$5="","",'D1-D3'!$G$5)</f>
        <v/>
      </c>
      <c r="U5" s="406"/>
      <c r="V5" s="406"/>
      <c r="W5" s="406"/>
      <c r="X5" s="406"/>
      <c r="Y5" s="406"/>
      <c r="Z5" s="406"/>
      <c r="AA5" s="406"/>
      <c r="AB5" s="406"/>
      <c r="AC5" s="416"/>
      <c r="AD5" s="519" t="str">
        <f>HLOOKUP(Language!$B$2,Language!$C$12:$H$656,14)</f>
        <v>Complaint number (Supplier):</v>
      </c>
      <c r="AE5" s="517"/>
      <c r="AF5" s="517"/>
      <c r="AG5" s="517"/>
      <c r="AH5" s="517"/>
      <c r="AI5" s="517"/>
      <c r="AJ5" s="517"/>
      <c r="AK5" s="517"/>
      <c r="AL5" s="518"/>
      <c r="AM5" s="405" t="str">
        <f>IF('D1-D3'!$T$5="","",'D1-D3'!$T$5)</f>
        <v/>
      </c>
      <c r="AN5" s="406"/>
      <c r="AO5" s="406"/>
      <c r="AP5" s="406"/>
      <c r="AQ5" s="406"/>
      <c r="AR5" s="406"/>
      <c r="AS5" s="406"/>
      <c r="AT5" s="406"/>
      <c r="AU5" s="406"/>
      <c r="AV5" s="406"/>
      <c r="AW5" s="406"/>
      <c r="AX5" s="319"/>
      <c r="AY5" s="271"/>
      <c r="AZ5" s="272"/>
      <c r="BA5" s="272"/>
      <c r="BB5" s="272"/>
      <c r="BC5" s="272"/>
      <c r="BD5" s="272"/>
      <c r="BE5" s="272"/>
      <c r="BF5" s="272"/>
      <c r="BG5" s="272"/>
      <c r="BH5" s="273"/>
      <c r="BI5" s="25"/>
    </row>
    <row r="6" spans="2:72" ht="12" customHeight="1" x14ac:dyDescent="0.3">
      <c r="B6" s="252"/>
      <c r="C6" s="253"/>
      <c r="D6" s="253"/>
      <c r="E6" s="253"/>
      <c r="F6" s="254"/>
      <c r="G6" s="1"/>
      <c r="H6" s="2"/>
      <c r="I6" s="2"/>
      <c r="J6" s="2"/>
      <c r="K6" s="2"/>
      <c r="L6" s="21"/>
      <c r="M6" s="21"/>
      <c r="N6" s="21"/>
      <c r="O6" s="33"/>
      <c r="P6" s="33"/>
      <c r="Q6" s="33"/>
      <c r="R6" s="33"/>
      <c r="S6" s="33"/>
      <c r="T6" s="33"/>
      <c r="U6" s="33"/>
      <c r="V6" s="33"/>
      <c r="W6" s="33"/>
      <c r="X6" s="33"/>
      <c r="Y6" s="6"/>
      <c r="Z6" s="6"/>
      <c r="AA6" s="6"/>
      <c r="AB6" s="6"/>
      <c r="AC6" s="6"/>
      <c r="AD6" s="6"/>
      <c r="AE6" s="6"/>
      <c r="AF6" s="6"/>
      <c r="AG6" s="33"/>
      <c r="AH6" s="21"/>
      <c r="AI6" s="21"/>
      <c r="AJ6" s="21"/>
      <c r="AK6" s="21"/>
      <c r="AL6" s="21"/>
      <c r="AM6" s="21"/>
      <c r="AN6" s="21"/>
      <c r="AO6" s="21"/>
      <c r="AP6" s="21"/>
      <c r="AQ6" s="21"/>
      <c r="AR6" s="21"/>
      <c r="AS6" s="21"/>
      <c r="AT6" s="25"/>
      <c r="AU6" s="25"/>
      <c r="AV6" s="25"/>
      <c r="AW6" s="25"/>
      <c r="AX6" s="264"/>
      <c r="AY6" s="264"/>
      <c r="AZ6" s="264"/>
      <c r="BA6" s="264"/>
      <c r="BB6" s="264"/>
      <c r="BC6" s="265"/>
      <c r="BD6" s="257"/>
      <c r="BE6" s="258"/>
      <c r="BF6" s="258"/>
      <c r="BG6" s="258"/>
      <c r="BH6" s="259"/>
      <c r="BI6" s="25"/>
    </row>
    <row r="7" spans="2:72" ht="12" customHeight="1" x14ac:dyDescent="0.3">
      <c r="B7" s="252"/>
      <c r="C7" s="253"/>
      <c r="D7" s="253"/>
      <c r="E7" s="253"/>
      <c r="F7" s="254"/>
      <c r="G7" s="4"/>
      <c r="H7" s="305" t="str">
        <f>HLOOKUP(Language!$B$2,Language!$C$12:$H$656,10)</f>
        <v>Material name:</v>
      </c>
      <c r="I7" s="305"/>
      <c r="J7" s="305"/>
      <c r="K7" s="305"/>
      <c r="L7" s="305"/>
      <c r="M7" s="305"/>
      <c r="N7" s="305"/>
      <c r="O7" s="305"/>
      <c r="P7" s="404" t="str">
        <f>IF('D1-D3'!$H$7="","",'D1-D3'!$H$7)</f>
        <v/>
      </c>
      <c r="Q7" s="404"/>
      <c r="R7" s="404"/>
      <c r="S7" s="404"/>
      <c r="T7" s="404"/>
      <c r="U7" s="404"/>
      <c r="V7" s="404"/>
      <c r="W7" s="404"/>
      <c r="X7" s="404"/>
      <c r="Y7" s="404"/>
      <c r="Z7" s="404"/>
      <c r="AA7" s="404"/>
      <c r="AB7" s="404"/>
      <c r="AC7" s="404"/>
      <c r="AD7" s="305" t="str">
        <f>HLOOKUP(Language!$B$2,Language!$C$12:$H$656,12)</f>
        <v>Drawing no.</v>
      </c>
      <c r="AE7" s="305"/>
      <c r="AF7" s="305"/>
      <c r="AG7" s="305"/>
      <c r="AH7" s="305"/>
      <c r="AI7" s="305"/>
      <c r="AJ7" s="305"/>
      <c r="AK7" s="305"/>
      <c r="AL7" s="404" t="str">
        <f>IF('D1-D3'!$W$7="","",'D1-D3'!$W$7)</f>
        <v/>
      </c>
      <c r="AM7" s="404"/>
      <c r="AN7" s="404"/>
      <c r="AO7" s="404"/>
      <c r="AP7" s="404"/>
      <c r="AQ7" s="404"/>
      <c r="AR7" s="404"/>
      <c r="AS7" s="404"/>
      <c r="AT7" s="404"/>
      <c r="AU7" s="404"/>
      <c r="AV7" s="404"/>
      <c r="AW7" s="404"/>
      <c r="AX7" s="404"/>
      <c r="AY7" s="404"/>
      <c r="AZ7" s="404"/>
      <c r="BA7" s="404"/>
      <c r="BB7" s="404"/>
      <c r="BC7" s="5"/>
      <c r="BD7" s="260"/>
      <c r="BE7" s="261"/>
      <c r="BF7" s="261"/>
      <c r="BG7" s="261"/>
      <c r="BH7" s="262"/>
      <c r="BI7" s="6"/>
    </row>
    <row r="8" spans="2:72" ht="12" customHeight="1" x14ac:dyDescent="0.3">
      <c r="B8" s="252"/>
      <c r="C8" s="253"/>
      <c r="D8" s="253"/>
      <c r="E8" s="253"/>
      <c r="F8" s="254"/>
      <c r="G8" s="4"/>
      <c r="H8" s="305" t="str">
        <f>HLOOKUP(Language!$B$2,Language!$C$12:$H$656,11)</f>
        <v>Material number:</v>
      </c>
      <c r="I8" s="305"/>
      <c r="J8" s="305"/>
      <c r="K8" s="305"/>
      <c r="L8" s="305"/>
      <c r="M8" s="305"/>
      <c r="N8" s="305"/>
      <c r="O8" s="305"/>
      <c r="P8" s="404" t="str">
        <f>IF('D1-D3'!$H$8="","",'D1-D3'!$H$8)</f>
        <v/>
      </c>
      <c r="Q8" s="404"/>
      <c r="R8" s="404"/>
      <c r="S8" s="404"/>
      <c r="T8" s="404"/>
      <c r="U8" s="404"/>
      <c r="V8" s="404"/>
      <c r="W8" s="404"/>
      <c r="X8" s="404"/>
      <c r="Y8" s="404"/>
      <c r="Z8" s="404"/>
      <c r="AA8" s="404"/>
      <c r="AB8" s="404"/>
      <c r="AC8" s="404"/>
      <c r="AD8" s="305" t="str">
        <f>HLOOKUP(Language!$B$2,Language!$C$12:$H$656,13)</f>
        <v>Drawing revision</v>
      </c>
      <c r="AE8" s="305"/>
      <c r="AF8" s="305"/>
      <c r="AG8" s="305"/>
      <c r="AH8" s="305"/>
      <c r="AI8" s="305"/>
      <c r="AJ8" s="305"/>
      <c r="AK8" s="305"/>
      <c r="AL8" s="404" t="str">
        <f>IF('D1-D3'!$W$8="","",'D1-D3'!$W$8)</f>
        <v/>
      </c>
      <c r="AM8" s="404"/>
      <c r="AN8" s="404"/>
      <c r="AO8" s="404"/>
      <c r="AP8" s="404"/>
      <c r="AQ8" s="404"/>
      <c r="AR8" s="404"/>
      <c r="AS8" s="404"/>
      <c r="AT8" s="404"/>
      <c r="AU8" s="404"/>
      <c r="AV8" s="404"/>
      <c r="AW8" s="404"/>
      <c r="AX8" s="404"/>
      <c r="AY8" s="404"/>
      <c r="AZ8" s="404"/>
      <c r="BA8" s="404"/>
      <c r="BB8" s="404"/>
      <c r="BC8" s="5"/>
      <c r="BD8" s="260"/>
      <c r="BE8" s="261"/>
      <c r="BF8" s="261"/>
      <c r="BG8" s="261"/>
      <c r="BH8" s="262"/>
      <c r="BI8" s="6"/>
    </row>
    <row r="9" spans="2:72" ht="12" customHeight="1" thickBot="1" x14ac:dyDescent="0.35">
      <c r="B9" s="121"/>
      <c r="C9" s="255"/>
      <c r="D9" s="255"/>
      <c r="E9" s="255"/>
      <c r="F9" s="256"/>
      <c r="G9" s="18"/>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27"/>
      <c r="AU9" s="28"/>
      <c r="AV9" s="28"/>
      <c r="AW9" s="28"/>
      <c r="AX9" s="28"/>
      <c r="AY9" s="28"/>
      <c r="AZ9" s="28"/>
      <c r="BA9" s="28"/>
      <c r="BB9" s="28"/>
      <c r="BC9" s="29"/>
      <c r="BD9" s="263"/>
      <c r="BE9" s="98"/>
      <c r="BF9" s="98"/>
      <c r="BG9" s="98"/>
      <c r="BH9" s="99"/>
      <c r="BI9" s="102"/>
    </row>
    <row r="10" spans="2:72" ht="12" customHeight="1" x14ac:dyDescent="0.3">
      <c r="B10" s="107"/>
      <c r="G10" s="6"/>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6"/>
      <c r="BD10" s="6"/>
      <c r="BE10" s="6"/>
      <c r="BF10" s="6"/>
      <c r="BG10" s="6"/>
      <c r="BH10" s="5"/>
      <c r="BI10" s="6"/>
    </row>
    <row r="11" spans="2:72" ht="12" customHeight="1" x14ac:dyDescent="0.3">
      <c r="B11" s="107"/>
      <c r="C11" s="513"/>
      <c r="D11" s="513"/>
      <c r="E11" s="513"/>
      <c r="F11" s="513"/>
      <c r="G11" s="513"/>
      <c r="H11" s="513"/>
      <c r="I11" s="513"/>
      <c r="J11" s="513"/>
      <c r="K11" s="513"/>
      <c r="L11" s="513"/>
      <c r="M11" s="513"/>
      <c r="N11" s="513"/>
      <c r="O11" s="513"/>
      <c r="P11" s="513"/>
      <c r="Q11" s="513"/>
      <c r="R11" s="513"/>
      <c r="S11" s="513"/>
      <c r="T11" s="513"/>
      <c r="U11" s="513"/>
      <c r="V11" s="513"/>
      <c r="W11" s="513"/>
      <c r="X11" s="513"/>
      <c r="Y11" s="513"/>
      <c r="Z11" s="513"/>
      <c r="AA11" s="513"/>
      <c r="AB11" s="513"/>
      <c r="AC11" s="513"/>
      <c r="AD11" s="513"/>
      <c r="AE11" s="513"/>
      <c r="AF11" s="513"/>
      <c r="AG11" s="513"/>
      <c r="AH11" s="513"/>
      <c r="AI11" s="513"/>
      <c r="AJ11" s="513"/>
      <c r="AK11" s="513"/>
      <c r="AL11" s="513"/>
      <c r="AM11" s="513"/>
      <c r="AN11" s="513"/>
      <c r="AO11" s="513"/>
      <c r="AP11" s="513"/>
      <c r="AQ11" s="513"/>
      <c r="AR11" s="513"/>
      <c r="AS11" s="513"/>
      <c r="AT11" s="513"/>
      <c r="AU11" s="513"/>
      <c r="AV11" s="513"/>
      <c r="AW11" s="513"/>
      <c r="AX11" s="513"/>
      <c r="AY11" s="513"/>
      <c r="AZ11" s="513"/>
      <c r="BA11" s="513"/>
      <c r="BB11" s="513"/>
      <c r="BC11" s="513"/>
      <c r="BD11" s="513"/>
      <c r="BE11" s="513"/>
      <c r="BF11" s="513"/>
      <c r="BG11" s="513"/>
      <c r="BH11" s="5"/>
      <c r="BI11" s="6"/>
    </row>
    <row r="12" spans="2:72" ht="12" customHeight="1" x14ac:dyDescent="0.3">
      <c r="B12" s="107"/>
      <c r="C12" s="513"/>
      <c r="D12" s="513"/>
      <c r="E12" s="513"/>
      <c r="F12" s="513"/>
      <c r="G12" s="513"/>
      <c r="H12" s="513"/>
      <c r="I12" s="513"/>
      <c r="J12" s="513"/>
      <c r="K12" s="513"/>
      <c r="L12" s="513"/>
      <c r="M12" s="513"/>
      <c r="N12" s="513"/>
      <c r="O12" s="513"/>
      <c r="P12" s="513"/>
      <c r="Q12" s="513"/>
      <c r="R12" s="513"/>
      <c r="S12" s="513"/>
      <c r="T12" s="513"/>
      <c r="U12" s="513"/>
      <c r="V12" s="513"/>
      <c r="W12" s="513"/>
      <c r="X12" s="513"/>
      <c r="Y12" s="513"/>
      <c r="Z12" s="513"/>
      <c r="AA12" s="513"/>
      <c r="AB12" s="513"/>
      <c r="AC12" s="513"/>
      <c r="AD12" s="513"/>
      <c r="AE12" s="513"/>
      <c r="AF12" s="513"/>
      <c r="AG12" s="513"/>
      <c r="AH12" s="513"/>
      <c r="AI12" s="513"/>
      <c r="AJ12" s="513"/>
      <c r="AK12" s="513"/>
      <c r="AL12" s="513"/>
      <c r="AM12" s="513"/>
      <c r="AN12" s="513"/>
      <c r="AO12" s="513"/>
      <c r="AP12" s="513"/>
      <c r="AQ12" s="513"/>
      <c r="AR12" s="513"/>
      <c r="AS12" s="513"/>
      <c r="AT12" s="513"/>
      <c r="AU12" s="513"/>
      <c r="AV12" s="513"/>
      <c r="AW12" s="513"/>
      <c r="AX12" s="513"/>
      <c r="AY12" s="513"/>
      <c r="AZ12" s="513"/>
      <c r="BA12" s="513"/>
      <c r="BB12" s="513"/>
      <c r="BC12" s="513"/>
      <c r="BD12" s="513"/>
      <c r="BE12" s="513"/>
      <c r="BF12" s="513"/>
      <c r="BG12" s="513"/>
      <c r="BH12" s="5"/>
      <c r="BI12" s="6"/>
    </row>
    <row r="13" spans="2:72" ht="12" customHeight="1" x14ac:dyDescent="0.3">
      <c r="B13" s="107"/>
      <c r="C13" s="513"/>
      <c r="D13" s="513"/>
      <c r="E13" s="513"/>
      <c r="F13" s="513"/>
      <c r="G13" s="513"/>
      <c r="H13" s="513"/>
      <c r="I13" s="513"/>
      <c r="J13" s="513"/>
      <c r="K13" s="513"/>
      <c r="L13" s="513"/>
      <c r="M13" s="513"/>
      <c r="N13" s="513"/>
      <c r="O13" s="513"/>
      <c r="P13" s="513"/>
      <c r="Q13" s="513"/>
      <c r="R13" s="513"/>
      <c r="S13" s="513"/>
      <c r="T13" s="513"/>
      <c r="U13" s="513"/>
      <c r="V13" s="513"/>
      <c r="W13" s="513"/>
      <c r="X13" s="513"/>
      <c r="Y13" s="513"/>
      <c r="Z13" s="513"/>
      <c r="AA13" s="513"/>
      <c r="AB13" s="513"/>
      <c r="AC13" s="513"/>
      <c r="AD13" s="513"/>
      <c r="AE13" s="513"/>
      <c r="AF13" s="513"/>
      <c r="AG13" s="513"/>
      <c r="AH13" s="513"/>
      <c r="AI13" s="513"/>
      <c r="AJ13" s="513"/>
      <c r="AK13" s="513"/>
      <c r="AL13" s="513"/>
      <c r="AM13" s="513"/>
      <c r="AN13" s="513"/>
      <c r="AO13" s="513"/>
      <c r="AP13" s="513"/>
      <c r="AQ13" s="513"/>
      <c r="AR13" s="513"/>
      <c r="AS13" s="513"/>
      <c r="AT13" s="513"/>
      <c r="AU13" s="513"/>
      <c r="AV13" s="513"/>
      <c r="AW13" s="513"/>
      <c r="AX13" s="513"/>
      <c r="AY13" s="513"/>
      <c r="AZ13" s="513"/>
      <c r="BA13" s="513"/>
      <c r="BB13" s="513"/>
      <c r="BC13" s="513"/>
      <c r="BD13" s="513"/>
      <c r="BE13" s="513"/>
      <c r="BF13" s="513"/>
      <c r="BG13" s="513"/>
      <c r="BH13" s="5"/>
      <c r="BI13" s="6"/>
    </row>
    <row r="14" spans="2:72" ht="12" customHeight="1" x14ac:dyDescent="0.3">
      <c r="B14" s="107"/>
      <c r="C14" s="513"/>
      <c r="D14" s="513"/>
      <c r="E14" s="513"/>
      <c r="F14" s="513"/>
      <c r="G14" s="513"/>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K14" s="513"/>
      <c r="AL14" s="513"/>
      <c r="AM14" s="513"/>
      <c r="AN14" s="513"/>
      <c r="AO14" s="513"/>
      <c r="AP14" s="513"/>
      <c r="AQ14" s="513"/>
      <c r="AR14" s="513"/>
      <c r="AS14" s="513"/>
      <c r="AT14" s="513"/>
      <c r="AU14" s="513"/>
      <c r="AV14" s="513"/>
      <c r="AW14" s="513"/>
      <c r="AX14" s="513"/>
      <c r="AY14" s="513"/>
      <c r="AZ14" s="513"/>
      <c r="BA14" s="513"/>
      <c r="BB14" s="513"/>
      <c r="BC14" s="513"/>
      <c r="BD14" s="513"/>
      <c r="BE14" s="513"/>
      <c r="BF14" s="513"/>
      <c r="BG14" s="513"/>
      <c r="BH14" s="5"/>
      <c r="BI14" s="6"/>
    </row>
    <row r="15" spans="2:72" ht="12" customHeight="1" x14ac:dyDescent="0.3">
      <c r="B15" s="107"/>
      <c r="C15" s="513"/>
      <c r="D15" s="513"/>
      <c r="E15" s="513"/>
      <c r="F15" s="513"/>
      <c r="G15" s="513"/>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513"/>
      <c r="AL15" s="513"/>
      <c r="AM15" s="513"/>
      <c r="AN15" s="513"/>
      <c r="AO15" s="513"/>
      <c r="AP15" s="513"/>
      <c r="AQ15" s="513"/>
      <c r="AR15" s="513"/>
      <c r="AS15" s="513"/>
      <c r="AT15" s="513"/>
      <c r="AU15" s="513"/>
      <c r="AV15" s="513"/>
      <c r="AW15" s="513"/>
      <c r="AX15" s="513"/>
      <c r="AY15" s="513"/>
      <c r="AZ15" s="513"/>
      <c r="BA15" s="513"/>
      <c r="BB15" s="513"/>
      <c r="BC15" s="513"/>
      <c r="BD15" s="513"/>
      <c r="BE15" s="513"/>
      <c r="BF15" s="513"/>
      <c r="BG15" s="513"/>
      <c r="BH15" s="5"/>
      <c r="BI15" s="6"/>
    </row>
    <row r="16" spans="2:72" ht="12" customHeight="1" x14ac:dyDescent="0.3">
      <c r="B16" s="107"/>
      <c r="C16" s="513"/>
      <c r="D16" s="513"/>
      <c r="E16" s="513"/>
      <c r="F16" s="513"/>
      <c r="G16" s="513"/>
      <c r="H16" s="513"/>
      <c r="I16" s="513"/>
      <c r="J16" s="513"/>
      <c r="K16" s="513"/>
      <c r="L16" s="513"/>
      <c r="M16" s="513"/>
      <c r="N16" s="513"/>
      <c r="O16" s="513"/>
      <c r="P16" s="513"/>
      <c r="Q16" s="513"/>
      <c r="R16" s="513"/>
      <c r="S16" s="513"/>
      <c r="T16" s="513"/>
      <c r="U16" s="513"/>
      <c r="V16" s="513"/>
      <c r="W16" s="513"/>
      <c r="X16" s="513"/>
      <c r="Y16" s="513"/>
      <c r="Z16" s="513"/>
      <c r="AA16" s="513"/>
      <c r="AB16" s="513"/>
      <c r="AC16" s="513"/>
      <c r="AD16" s="513"/>
      <c r="AE16" s="513"/>
      <c r="AF16" s="513"/>
      <c r="AG16" s="513"/>
      <c r="AH16" s="513"/>
      <c r="AI16" s="513"/>
      <c r="AJ16" s="513"/>
      <c r="AK16" s="513"/>
      <c r="AL16" s="513"/>
      <c r="AM16" s="513"/>
      <c r="AN16" s="513"/>
      <c r="AO16" s="513"/>
      <c r="AP16" s="513"/>
      <c r="AQ16" s="513"/>
      <c r="AR16" s="513"/>
      <c r="AS16" s="513"/>
      <c r="AT16" s="513"/>
      <c r="AU16" s="513"/>
      <c r="AV16" s="513"/>
      <c r="AW16" s="513"/>
      <c r="AX16" s="513"/>
      <c r="AY16" s="513"/>
      <c r="AZ16" s="513"/>
      <c r="BA16" s="513"/>
      <c r="BB16" s="513"/>
      <c r="BC16" s="513"/>
      <c r="BD16" s="513"/>
      <c r="BE16" s="513"/>
      <c r="BF16" s="513"/>
      <c r="BG16" s="513"/>
      <c r="BH16" s="5"/>
      <c r="BI16" s="6"/>
    </row>
    <row r="17" spans="2:61" ht="12" customHeight="1" x14ac:dyDescent="0.3">
      <c r="B17" s="107"/>
      <c r="C17" s="513"/>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
      <c r="BI17" s="6"/>
    </row>
    <row r="18" spans="2:61" ht="12" customHeight="1" x14ac:dyDescent="0.3">
      <c r="B18" s="107"/>
      <c r="C18" s="513"/>
      <c r="D18" s="513"/>
      <c r="E18" s="513"/>
      <c r="F18" s="513"/>
      <c r="G18" s="513"/>
      <c r="H18" s="513"/>
      <c r="I18" s="513"/>
      <c r="J18" s="513"/>
      <c r="K18" s="513"/>
      <c r="L18" s="513"/>
      <c r="M18" s="513"/>
      <c r="N18" s="513"/>
      <c r="O18" s="513"/>
      <c r="P18" s="513"/>
      <c r="Q18" s="513"/>
      <c r="R18" s="513"/>
      <c r="S18" s="513"/>
      <c r="T18" s="513"/>
      <c r="U18" s="513"/>
      <c r="V18" s="513"/>
      <c r="W18" s="513"/>
      <c r="X18" s="513"/>
      <c r="Y18" s="513"/>
      <c r="Z18" s="513"/>
      <c r="AA18" s="513"/>
      <c r="AB18" s="513"/>
      <c r="AC18" s="513"/>
      <c r="AD18" s="513"/>
      <c r="AE18" s="513"/>
      <c r="AF18" s="513"/>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
      <c r="BI18" s="6"/>
    </row>
    <row r="19" spans="2:61" ht="12" customHeight="1" x14ac:dyDescent="0.3">
      <c r="B19" s="107"/>
      <c r="C19" s="513"/>
      <c r="D19" s="513"/>
      <c r="E19" s="513"/>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32"/>
      <c r="BI19" s="23"/>
    </row>
    <row r="20" spans="2:61" ht="12" customHeight="1" x14ac:dyDescent="0.3">
      <c r="B20" s="107"/>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32"/>
      <c r="BI20" s="23"/>
    </row>
    <row r="21" spans="2:61" ht="12" customHeight="1" x14ac:dyDescent="0.3">
      <c r="B21" s="107"/>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86"/>
    </row>
    <row r="22" spans="2:61" ht="12" customHeight="1" x14ac:dyDescent="0.3">
      <c r="B22" s="107"/>
      <c r="C22" s="513"/>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86"/>
    </row>
    <row r="23" spans="2:61" ht="12" customHeight="1" x14ac:dyDescent="0.3">
      <c r="B23" s="107"/>
      <c r="C23" s="513"/>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513"/>
      <c r="AL23" s="513"/>
      <c r="AM23" s="513"/>
      <c r="AN23" s="513"/>
      <c r="AO23" s="513"/>
      <c r="AP23" s="513"/>
      <c r="AQ23" s="513"/>
      <c r="AR23" s="513"/>
      <c r="AS23" s="513"/>
      <c r="AT23" s="513"/>
      <c r="AU23" s="513"/>
      <c r="AV23" s="513"/>
      <c r="AW23" s="513"/>
      <c r="AX23" s="513"/>
      <c r="AY23" s="513"/>
      <c r="AZ23" s="513"/>
      <c r="BA23" s="513"/>
      <c r="BB23" s="513"/>
      <c r="BC23" s="513"/>
      <c r="BD23" s="513"/>
      <c r="BE23" s="513"/>
      <c r="BF23" s="513"/>
      <c r="BG23" s="513"/>
      <c r="BH23" s="86"/>
    </row>
    <row r="24" spans="2:61" ht="12" customHeight="1" x14ac:dyDescent="0.3">
      <c r="B24" s="107"/>
      <c r="C24" s="513"/>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13"/>
      <c r="AI24" s="513"/>
      <c r="AJ24" s="513"/>
      <c r="AK24" s="513"/>
      <c r="AL24" s="513"/>
      <c r="AM24" s="513"/>
      <c r="AN24" s="513"/>
      <c r="AO24" s="513"/>
      <c r="AP24" s="513"/>
      <c r="AQ24" s="513"/>
      <c r="AR24" s="513"/>
      <c r="AS24" s="513"/>
      <c r="AT24" s="513"/>
      <c r="AU24" s="513"/>
      <c r="AV24" s="513"/>
      <c r="AW24" s="513"/>
      <c r="AX24" s="513"/>
      <c r="AY24" s="513"/>
      <c r="AZ24" s="513"/>
      <c r="BA24" s="513"/>
      <c r="BB24" s="513"/>
      <c r="BC24" s="513"/>
      <c r="BD24" s="513"/>
      <c r="BE24" s="513"/>
      <c r="BF24" s="513"/>
      <c r="BG24" s="513"/>
      <c r="BH24" s="86"/>
    </row>
    <row r="25" spans="2:61" ht="12" customHeight="1" x14ac:dyDescent="0.3">
      <c r="B25" s="107"/>
      <c r="C25" s="513"/>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3"/>
      <c r="AU25" s="513"/>
      <c r="AV25" s="513"/>
      <c r="AW25" s="513"/>
      <c r="AX25" s="513"/>
      <c r="AY25" s="513"/>
      <c r="AZ25" s="513"/>
      <c r="BA25" s="513"/>
      <c r="BB25" s="513"/>
      <c r="BC25" s="513"/>
      <c r="BD25" s="513"/>
      <c r="BE25" s="513"/>
      <c r="BF25" s="513"/>
      <c r="BG25" s="513"/>
      <c r="BH25" s="86"/>
    </row>
    <row r="26" spans="2:61" ht="12" customHeight="1" x14ac:dyDescent="0.3">
      <c r="B26" s="107"/>
      <c r="C26" s="513"/>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AT26" s="513"/>
      <c r="AU26" s="513"/>
      <c r="AV26" s="513"/>
      <c r="AW26" s="513"/>
      <c r="AX26" s="513"/>
      <c r="AY26" s="513"/>
      <c r="AZ26" s="513"/>
      <c r="BA26" s="513"/>
      <c r="BB26" s="513"/>
      <c r="BC26" s="513"/>
      <c r="BD26" s="513"/>
      <c r="BE26" s="513"/>
      <c r="BF26" s="513"/>
      <c r="BG26" s="513"/>
      <c r="BH26" s="86"/>
    </row>
    <row r="27" spans="2:61" ht="12" customHeight="1" x14ac:dyDescent="0.3">
      <c r="B27" s="107"/>
      <c r="C27" s="513"/>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B27" s="513"/>
      <c r="BC27" s="513"/>
      <c r="BD27" s="513"/>
      <c r="BE27" s="513"/>
      <c r="BF27" s="513"/>
      <c r="BG27" s="513"/>
      <c r="BH27" s="86"/>
    </row>
    <row r="28" spans="2:61" ht="12" customHeight="1" x14ac:dyDescent="0.3">
      <c r="B28" s="107"/>
      <c r="C28" s="513"/>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513"/>
      <c r="AL28" s="513"/>
      <c r="AM28" s="513"/>
      <c r="AN28" s="513"/>
      <c r="AO28" s="513"/>
      <c r="AP28" s="513"/>
      <c r="AQ28" s="513"/>
      <c r="AR28" s="513"/>
      <c r="AS28" s="513"/>
      <c r="AT28" s="513"/>
      <c r="AU28" s="513"/>
      <c r="AV28" s="513"/>
      <c r="AW28" s="513"/>
      <c r="AX28" s="513"/>
      <c r="AY28" s="513"/>
      <c r="AZ28" s="513"/>
      <c r="BA28" s="513"/>
      <c r="BB28" s="513"/>
      <c r="BC28" s="513"/>
      <c r="BD28" s="513"/>
      <c r="BE28" s="513"/>
      <c r="BF28" s="513"/>
      <c r="BG28" s="513"/>
      <c r="BH28" s="86"/>
    </row>
    <row r="29" spans="2:61" ht="12" customHeight="1" x14ac:dyDescent="0.3">
      <c r="B29" s="107"/>
      <c r="C29" s="513"/>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3"/>
      <c r="AU29" s="513"/>
      <c r="AV29" s="513"/>
      <c r="AW29" s="513"/>
      <c r="AX29" s="513"/>
      <c r="AY29" s="513"/>
      <c r="AZ29" s="513"/>
      <c r="BA29" s="513"/>
      <c r="BB29" s="513"/>
      <c r="BC29" s="513"/>
      <c r="BD29" s="513"/>
      <c r="BE29" s="513"/>
      <c r="BF29" s="513"/>
      <c r="BG29" s="513"/>
      <c r="BH29" s="86"/>
    </row>
    <row r="30" spans="2:61" x14ac:dyDescent="0.3">
      <c r="B30" s="107"/>
      <c r="C30" s="513"/>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513"/>
      <c r="AL30" s="513"/>
      <c r="AM30" s="513"/>
      <c r="AN30" s="513"/>
      <c r="AO30" s="513"/>
      <c r="AP30" s="513"/>
      <c r="AQ30" s="513"/>
      <c r="AR30" s="513"/>
      <c r="AS30" s="513"/>
      <c r="AT30" s="513"/>
      <c r="AU30" s="513"/>
      <c r="AV30" s="513"/>
      <c r="AW30" s="513"/>
      <c r="AX30" s="513"/>
      <c r="AY30" s="513"/>
      <c r="AZ30" s="513"/>
      <c r="BA30" s="513"/>
      <c r="BB30" s="513"/>
      <c r="BC30" s="513"/>
      <c r="BD30" s="513"/>
      <c r="BE30" s="513"/>
      <c r="BF30" s="513"/>
      <c r="BG30" s="513"/>
      <c r="BH30" s="86"/>
    </row>
    <row r="31" spans="2:61" x14ac:dyDescent="0.3">
      <c r="B31" s="107"/>
      <c r="C31" s="513"/>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513"/>
      <c r="AL31" s="513"/>
      <c r="AM31" s="513"/>
      <c r="AN31" s="513"/>
      <c r="AO31" s="513"/>
      <c r="AP31" s="513"/>
      <c r="AQ31" s="513"/>
      <c r="AR31" s="513"/>
      <c r="AS31" s="513"/>
      <c r="AT31" s="513"/>
      <c r="AU31" s="513"/>
      <c r="AV31" s="513"/>
      <c r="AW31" s="513"/>
      <c r="AX31" s="513"/>
      <c r="AY31" s="513"/>
      <c r="AZ31" s="513"/>
      <c r="BA31" s="513"/>
      <c r="BB31" s="513"/>
      <c r="BC31" s="513"/>
      <c r="BD31" s="513"/>
      <c r="BE31" s="513"/>
      <c r="BF31" s="513"/>
      <c r="BG31" s="513"/>
      <c r="BH31" s="86"/>
    </row>
    <row r="32" spans="2:61" x14ac:dyDescent="0.3">
      <c r="B32" s="107"/>
      <c r="C32" s="513"/>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3"/>
      <c r="BC32" s="513"/>
      <c r="BD32" s="513"/>
      <c r="BE32" s="513"/>
      <c r="BF32" s="513"/>
      <c r="BG32" s="513"/>
      <c r="BH32" s="86"/>
    </row>
    <row r="33" spans="2:60" x14ac:dyDescent="0.3">
      <c r="B33" s="107"/>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3"/>
      <c r="AU33" s="513"/>
      <c r="AV33" s="513"/>
      <c r="AW33" s="513"/>
      <c r="AX33" s="513"/>
      <c r="AY33" s="513"/>
      <c r="AZ33" s="513"/>
      <c r="BA33" s="513"/>
      <c r="BB33" s="513"/>
      <c r="BC33" s="513"/>
      <c r="BD33" s="513"/>
      <c r="BE33" s="513"/>
      <c r="BF33" s="513"/>
      <c r="BG33" s="513"/>
      <c r="BH33" s="86"/>
    </row>
    <row r="34" spans="2:60" x14ac:dyDescent="0.3">
      <c r="B34" s="107"/>
      <c r="C34" s="513"/>
      <c r="D34" s="513"/>
      <c r="E34" s="513"/>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3"/>
      <c r="BC34" s="513"/>
      <c r="BD34" s="513"/>
      <c r="BE34" s="513"/>
      <c r="BF34" s="513"/>
      <c r="BG34" s="513"/>
      <c r="BH34" s="86"/>
    </row>
    <row r="35" spans="2:60" x14ac:dyDescent="0.3">
      <c r="B35" s="107"/>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3"/>
      <c r="AM35" s="513"/>
      <c r="AN35" s="513"/>
      <c r="AO35" s="513"/>
      <c r="AP35" s="513"/>
      <c r="AQ35" s="513"/>
      <c r="AR35" s="513"/>
      <c r="AS35" s="513"/>
      <c r="AT35" s="513"/>
      <c r="AU35" s="513"/>
      <c r="AV35" s="513"/>
      <c r="AW35" s="513"/>
      <c r="AX35" s="513"/>
      <c r="AY35" s="513"/>
      <c r="AZ35" s="513"/>
      <c r="BA35" s="513"/>
      <c r="BB35" s="513"/>
      <c r="BC35" s="513"/>
      <c r="BD35" s="513"/>
      <c r="BE35" s="513"/>
      <c r="BF35" s="513"/>
      <c r="BG35" s="513"/>
      <c r="BH35" s="86"/>
    </row>
    <row r="36" spans="2:60" x14ac:dyDescent="0.3">
      <c r="B36" s="107"/>
      <c r="C36" s="513"/>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A36" s="513"/>
      <c r="AB36" s="513"/>
      <c r="AC36" s="513"/>
      <c r="AD36" s="513"/>
      <c r="AE36" s="513"/>
      <c r="AF36" s="513"/>
      <c r="AG36" s="513"/>
      <c r="AH36" s="513"/>
      <c r="AI36" s="513"/>
      <c r="AJ36" s="513"/>
      <c r="AK36" s="513"/>
      <c r="AL36" s="513"/>
      <c r="AM36" s="513"/>
      <c r="AN36" s="513"/>
      <c r="AO36" s="513"/>
      <c r="AP36" s="513"/>
      <c r="AQ36" s="513"/>
      <c r="AR36" s="513"/>
      <c r="AS36" s="513"/>
      <c r="AT36" s="513"/>
      <c r="AU36" s="513"/>
      <c r="AV36" s="513"/>
      <c r="AW36" s="513"/>
      <c r="AX36" s="513"/>
      <c r="AY36" s="513"/>
      <c r="AZ36" s="513"/>
      <c r="BA36" s="513"/>
      <c r="BB36" s="513"/>
      <c r="BC36" s="513"/>
      <c r="BD36" s="513"/>
      <c r="BE36" s="513"/>
      <c r="BF36" s="513"/>
      <c r="BG36" s="513"/>
      <c r="BH36" s="86"/>
    </row>
    <row r="37" spans="2:60" x14ac:dyDescent="0.3">
      <c r="B37" s="107"/>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3"/>
      <c r="AU37" s="513"/>
      <c r="AV37" s="513"/>
      <c r="AW37" s="513"/>
      <c r="AX37" s="513"/>
      <c r="AY37" s="513"/>
      <c r="AZ37" s="513"/>
      <c r="BA37" s="513"/>
      <c r="BB37" s="513"/>
      <c r="BC37" s="513"/>
      <c r="BD37" s="513"/>
      <c r="BE37" s="513"/>
      <c r="BF37" s="513"/>
      <c r="BG37" s="513"/>
      <c r="BH37" s="86"/>
    </row>
    <row r="38" spans="2:60" x14ac:dyDescent="0.3">
      <c r="B38" s="107"/>
      <c r="C38" s="513"/>
      <c r="D38" s="513"/>
      <c r="E38" s="513"/>
      <c r="F38" s="513"/>
      <c r="G38" s="513"/>
      <c r="H38" s="513"/>
      <c r="I38" s="513"/>
      <c r="J38" s="513"/>
      <c r="K38" s="513"/>
      <c r="L38" s="513"/>
      <c r="M38" s="513"/>
      <c r="N38" s="513"/>
      <c r="O38" s="513"/>
      <c r="P38" s="513"/>
      <c r="Q38" s="513"/>
      <c r="R38" s="513"/>
      <c r="S38" s="513"/>
      <c r="T38" s="513"/>
      <c r="U38" s="513"/>
      <c r="V38" s="513"/>
      <c r="W38" s="513"/>
      <c r="X38" s="513"/>
      <c r="Y38" s="513"/>
      <c r="Z38" s="513"/>
      <c r="AA38" s="513"/>
      <c r="AB38" s="513"/>
      <c r="AC38" s="513"/>
      <c r="AD38" s="513"/>
      <c r="AE38" s="513"/>
      <c r="AF38" s="513"/>
      <c r="AG38" s="513"/>
      <c r="AH38" s="513"/>
      <c r="AI38" s="513"/>
      <c r="AJ38" s="513"/>
      <c r="AK38" s="513"/>
      <c r="AL38" s="513"/>
      <c r="AM38" s="513"/>
      <c r="AN38" s="513"/>
      <c r="AO38" s="513"/>
      <c r="AP38" s="513"/>
      <c r="AQ38" s="513"/>
      <c r="AR38" s="513"/>
      <c r="AS38" s="513"/>
      <c r="AT38" s="513"/>
      <c r="AU38" s="513"/>
      <c r="AV38" s="513"/>
      <c r="AW38" s="513"/>
      <c r="AX38" s="513"/>
      <c r="AY38" s="513"/>
      <c r="AZ38" s="513"/>
      <c r="BA38" s="513"/>
      <c r="BB38" s="513"/>
      <c r="BC38" s="513"/>
      <c r="BD38" s="513"/>
      <c r="BE38" s="513"/>
      <c r="BF38" s="513"/>
      <c r="BG38" s="513"/>
      <c r="BH38" s="86"/>
    </row>
    <row r="39" spans="2:60" x14ac:dyDescent="0.3">
      <c r="B39" s="107"/>
      <c r="C39" s="513"/>
      <c r="D39" s="513"/>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3"/>
      <c r="AM39" s="513"/>
      <c r="AN39" s="513"/>
      <c r="AO39" s="513"/>
      <c r="AP39" s="513"/>
      <c r="AQ39" s="513"/>
      <c r="AR39" s="513"/>
      <c r="AS39" s="513"/>
      <c r="AT39" s="513"/>
      <c r="AU39" s="513"/>
      <c r="AV39" s="513"/>
      <c r="AW39" s="513"/>
      <c r="AX39" s="513"/>
      <c r="AY39" s="513"/>
      <c r="AZ39" s="513"/>
      <c r="BA39" s="513"/>
      <c r="BB39" s="513"/>
      <c r="BC39" s="513"/>
      <c r="BD39" s="513"/>
      <c r="BE39" s="513"/>
      <c r="BF39" s="513"/>
      <c r="BG39" s="513"/>
      <c r="BH39" s="86"/>
    </row>
    <row r="40" spans="2:60" x14ac:dyDescent="0.3">
      <c r="B40" s="107"/>
      <c r="C40" s="513"/>
      <c r="D40" s="513"/>
      <c r="E40" s="513"/>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3"/>
      <c r="AM40" s="513"/>
      <c r="AN40" s="513"/>
      <c r="AO40" s="513"/>
      <c r="AP40" s="513"/>
      <c r="AQ40" s="513"/>
      <c r="AR40" s="513"/>
      <c r="AS40" s="513"/>
      <c r="AT40" s="513"/>
      <c r="AU40" s="513"/>
      <c r="AV40" s="513"/>
      <c r="AW40" s="513"/>
      <c r="AX40" s="513"/>
      <c r="AY40" s="513"/>
      <c r="AZ40" s="513"/>
      <c r="BA40" s="513"/>
      <c r="BB40" s="513"/>
      <c r="BC40" s="513"/>
      <c r="BD40" s="513"/>
      <c r="BE40" s="513"/>
      <c r="BF40" s="513"/>
      <c r="BG40" s="513"/>
      <c r="BH40" s="86"/>
    </row>
    <row r="41" spans="2:60" x14ac:dyDescent="0.3">
      <c r="B41" s="107"/>
      <c r="C41" s="513"/>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3"/>
      <c r="AU41" s="513"/>
      <c r="AV41" s="513"/>
      <c r="AW41" s="513"/>
      <c r="AX41" s="513"/>
      <c r="AY41" s="513"/>
      <c r="AZ41" s="513"/>
      <c r="BA41" s="513"/>
      <c r="BB41" s="513"/>
      <c r="BC41" s="513"/>
      <c r="BD41" s="513"/>
      <c r="BE41" s="513"/>
      <c r="BF41" s="513"/>
      <c r="BG41" s="513"/>
      <c r="BH41" s="86"/>
    </row>
    <row r="42" spans="2:60" x14ac:dyDescent="0.3">
      <c r="B42" s="107"/>
      <c r="C42" s="513"/>
      <c r="D42" s="513"/>
      <c r="E42" s="513"/>
      <c r="F42" s="513"/>
      <c r="G42" s="513"/>
      <c r="H42" s="513"/>
      <c r="I42" s="513"/>
      <c r="J42" s="513"/>
      <c r="K42" s="513"/>
      <c r="L42" s="513"/>
      <c r="M42" s="513"/>
      <c r="N42" s="513"/>
      <c r="O42" s="513"/>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3"/>
      <c r="AM42" s="513"/>
      <c r="AN42" s="513"/>
      <c r="AO42" s="513"/>
      <c r="AP42" s="513"/>
      <c r="AQ42" s="513"/>
      <c r="AR42" s="513"/>
      <c r="AS42" s="513"/>
      <c r="AT42" s="513"/>
      <c r="AU42" s="513"/>
      <c r="AV42" s="513"/>
      <c r="AW42" s="513"/>
      <c r="AX42" s="513"/>
      <c r="AY42" s="513"/>
      <c r="AZ42" s="513"/>
      <c r="BA42" s="513"/>
      <c r="BB42" s="513"/>
      <c r="BC42" s="513"/>
      <c r="BD42" s="513"/>
      <c r="BE42" s="513"/>
      <c r="BF42" s="513"/>
      <c r="BG42" s="513"/>
      <c r="BH42" s="86"/>
    </row>
    <row r="43" spans="2:60" x14ac:dyDescent="0.3">
      <c r="B43" s="107"/>
      <c r="C43" s="513"/>
      <c r="D43" s="513"/>
      <c r="E43" s="513"/>
      <c r="F43" s="513"/>
      <c r="G43" s="513"/>
      <c r="H43" s="513"/>
      <c r="I43" s="513"/>
      <c r="J43" s="513"/>
      <c r="K43" s="513"/>
      <c r="L43" s="513"/>
      <c r="M43" s="513"/>
      <c r="N43" s="513"/>
      <c r="O43" s="513"/>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3"/>
      <c r="AM43" s="513"/>
      <c r="AN43" s="513"/>
      <c r="AO43" s="513"/>
      <c r="AP43" s="513"/>
      <c r="AQ43" s="513"/>
      <c r="AR43" s="513"/>
      <c r="AS43" s="513"/>
      <c r="AT43" s="513"/>
      <c r="AU43" s="513"/>
      <c r="AV43" s="513"/>
      <c r="AW43" s="513"/>
      <c r="AX43" s="513"/>
      <c r="AY43" s="513"/>
      <c r="AZ43" s="513"/>
      <c r="BA43" s="513"/>
      <c r="BB43" s="513"/>
      <c r="BC43" s="513"/>
      <c r="BD43" s="513"/>
      <c r="BE43" s="513"/>
      <c r="BF43" s="513"/>
      <c r="BG43" s="513"/>
      <c r="BH43" s="86"/>
    </row>
    <row r="44" spans="2:60" x14ac:dyDescent="0.3">
      <c r="B44" s="107"/>
      <c r="C44" s="513"/>
      <c r="D44" s="513"/>
      <c r="E44" s="513"/>
      <c r="F44" s="513"/>
      <c r="G44" s="513"/>
      <c r="H44" s="513"/>
      <c r="I44" s="513"/>
      <c r="J44" s="513"/>
      <c r="K44" s="513"/>
      <c r="L44" s="513"/>
      <c r="M44" s="513"/>
      <c r="N44" s="513"/>
      <c r="O44" s="513"/>
      <c r="P44" s="513"/>
      <c r="Q44" s="513"/>
      <c r="R44" s="513"/>
      <c r="S44" s="513"/>
      <c r="T44" s="513"/>
      <c r="U44" s="513"/>
      <c r="V44" s="513"/>
      <c r="W44" s="513"/>
      <c r="X44" s="513"/>
      <c r="Y44" s="513"/>
      <c r="Z44" s="513"/>
      <c r="AA44" s="513"/>
      <c r="AB44" s="513"/>
      <c r="AC44" s="513"/>
      <c r="AD44" s="513"/>
      <c r="AE44" s="513"/>
      <c r="AF44" s="513"/>
      <c r="AG44" s="513"/>
      <c r="AH44" s="513"/>
      <c r="AI44" s="513"/>
      <c r="AJ44" s="513"/>
      <c r="AK44" s="513"/>
      <c r="AL44" s="513"/>
      <c r="AM44" s="513"/>
      <c r="AN44" s="513"/>
      <c r="AO44" s="513"/>
      <c r="AP44" s="513"/>
      <c r="AQ44" s="513"/>
      <c r="AR44" s="513"/>
      <c r="AS44" s="513"/>
      <c r="AT44" s="513"/>
      <c r="AU44" s="513"/>
      <c r="AV44" s="513"/>
      <c r="AW44" s="513"/>
      <c r="AX44" s="513"/>
      <c r="AY44" s="513"/>
      <c r="AZ44" s="513"/>
      <c r="BA44" s="513"/>
      <c r="BB44" s="513"/>
      <c r="BC44" s="513"/>
      <c r="BD44" s="513"/>
      <c r="BE44" s="513"/>
      <c r="BF44" s="513"/>
      <c r="BG44" s="513"/>
      <c r="BH44" s="86"/>
    </row>
    <row r="45" spans="2:60" x14ac:dyDescent="0.3">
      <c r="B45" s="107"/>
      <c r="C45" s="513"/>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3"/>
      <c r="AU45" s="513"/>
      <c r="AV45" s="513"/>
      <c r="AW45" s="513"/>
      <c r="AX45" s="513"/>
      <c r="AY45" s="513"/>
      <c r="AZ45" s="513"/>
      <c r="BA45" s="513"/>
      <c r="BB45" s="513"/>
      <c r="BC45" s="513"/>
      <c r="BD45" s="513"/>
      <c r="BE45" s="513"/>
      <c r="BF45" s="513"/>
      <c r="BG45" s="513"/>
      <c r="BH45" s="86"/>
    </row>
    <row r="46" spans="2:60" x14ac:dyDescent="0.3">
      <c r="B46" s="107"/>
      <c r="C46" s="513"/>
      <c r="D46" s="513"/>
      <c r="E46" s="513"/>
      <c r="F46" s="513"/>
      <c r="G46" s="513"/>
      <c r="H46" s="513"/>
      <c r="I46" s="513"/>
      <c r="J46" s="513"/>
      <c r="K46" s="513"/>
      <c r="L46" s="513"/>
      <c r="M46" s="513"/>
      <c r="N46" s="513"/>
      <c r="O46" s="513"/>
      <c r="P46" s="513"/>
      <c r="Q46" s="513"/>
      <c r="R46" s="513"/>
      <c r="S46" s="513"/>
      <c r="T46" s="513"/>
      <c r="U46" s="513"/>
      <c r="V46" s="513"/>
      <c r="W46" s="513"/>
      <c r="X46" s="513"/>
      <c r="Y46" s="513"/>
      <c r="Z46" s="513"/>
      <c r="AA46" s="513"/>
      <c r="AB46" s="513"/>
      <c r="AC46" s="513"/>
      <c r="AD46" s="513"/>
      <c r="AE46" s="513"/>
      <c r="AF46" s="513"/>
      <c r="AG46" s="513"/>
      <c r="AH46" s="513"/>
      <c r="AI46" s="513"/>
      <c r="AJ46" s="513"/>
      <c r="AK46" s="513"/>
      <c r="AL46" s="513"/>
      <c r="AM46" s="513"/>
      <c r="AN46" s="513"/>
      <c r="AO46" s="513"/>
      <c r="AP46" s="513"/>
      <c r="AQ46" s="513"/>
      <c r="AR46" s="513"/>
      <c r="AS46" s="513"/>
      <c r="AT46" s="513"/>
      <c r="AU46" s="513"/>
      <c r="AV46" s="513"/>
      <c r="AW46" s="513"/>
      <c r="AX46" s="513"/>
      <c r="AY46" s="513"/>
      <c r="AZ46" s="513"/>
      <c r="BA46" s="513"/>
      <c r="BB46" s="513"/>
      <c r="BC46" s="513"/>
      <c r="BD46" s="513"/>
      <c r="BE46" s="513"/>
      <c r="BF46" s="513"/>
      <c r="BG46" s="513"/>
      <c r="BH46" s="86"/>
    </row>
    <row r="47" spans="2:60" x14ac:dyDescent="0.3">
      <c r="B47" s="107"/>
      <c r="C47" s="513"/>
      <c r="D47" s="513"/>
      <c r="E47" s="513"/>
      <c r="F47" s="513"/>
      <c r="G47" s="513"/>
      <c r="H47" s="513"/>
      <c r="I47" s="513"/>
      <c r="J47" s="513"/>
      <c r="K47" s="513"/>
      <c r="L47" s="513"/>
      <c r="M47" s="513"/>
      <c r="N47" s="513"/>
      <c r="O47" s="513"/>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3"/>
      <c r="AM47" s="513"/>
      <c r="AN47" s="513"/>
      <c r="AO47" s="513"/>
      <c r="AP47" s="513"/>
      <c r="AQ47" s="513"/>
      <c r="AR47" s="513"/>
      <c r="AS47" s="513"/>
      <c r="AT47" s="513"/>
      <c r="AU47" s="513"/>
      <c r="AV47" s="513"/>
      <c r="AW47" s="513"/>
      <c r="AX47" s="513"/>
      <c r="AY47" s="513"/>
      <c r="AZ47" s="513"/>
      <c r="BA47" s="513"/>
      <c r="BB47" s="513"/>
      <c r="BC47" s="513"/>
      <c r="BD47" s="513"/>
      <c r="BE47" s="513"/>
      <c r="BF47" s="513"/>
      <c r="BG47" s="513"/>
      <c r="BH47" s="86"/>
    </row>
    <row r="48" spans="2:60" x14ac:dyDescent="0.3">
      <c r="B48" s="107"/>
      <c r="C48" s="513"/>
      <c r="D48" s="513"/>
      <c r="E48" s="513"/>
      <c r="F48" s="513"/>
      <c r="G48" s="513"/>
      <c r="H48" s="513"/>
      <c r="I48" s="513"/>
      <c r="J48" s="513"/>
      <c r="K48" s="513"/>
      <c r="L48" s="513"/>
      <c r="M48" s="513"/>
      <c r="N48" s="513"/>
      <c r="O48" s="513"/>
      <c r="P48" s="513"/>
      <c r="Q48" s="513"/>
      <c r="R48" s="513"/>
      <c r="S48" s="513"/>
      <c r="T48" s="513"/>
      <c r="U48" s="513"/>
      <c r="V48" s="513"/>
      <c r="W48" s="513"/>
      <c r="X48" s="513"/>
      <c r="Y48" s="513"/>
      <c r="Z48" s="513"/>
      <c r="AA48" s="513"/>
      <c r="AB48" s="513"/>
      <c r="AC48" s="513"/>
      <c r="AD48" s="513"/>
      <c r="AE48" s="513"/>
      <c r="AF48" s="513"/>
      <c r="AG48" s="513"/>
      <c r="AH48" s="513"/>
      <c r="AI48" s="513"/>
      <c r="AJ48" s="513"/>
      <c r="AK48" s="513"/>
      <c r="AL48" s="513"/>
      <c r="AM48" s="513"/>
      <c r="AN48" s="513"/>
      <c r="AO48" s="513"/>
      <c r="AP48" s="513"/>
      <c r="AQ48" s="513"/>
      <c r="AR48" s="513"/>
      <c r="AS48" s="513"/>
      <c r="AT48" s="513"/>
      <c r="AU48" s="513"/>
      <c r="AV48" s="513"/>
      <c r="AW48" s="513"/>
      <c r="AX48" s="513"/>
      <c r="AY48" s="513"/>
      <c r="AZ48" s="513"/>
      <c r="BA48" s="513"/>
      <c r="BB48" s="513"/>
      <c r="BC48" s="513"/>
      <c r="BD48" s="513"/>
      <c r="BE48" s="513"/>
      <c r="BF48" s="513"/>
      <c r="BG48" s="513"/>
      <c r="BH48" s="86"/>
    </row>
    <row r="49" spans="2:60" x14ac:dyDescent="0.3">
      <c r="B49" s="107"/>
      <c r="C49" s="513"/>
      <c r="D49" s="513"/>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3"/>
      <c r="AR49" s="513"/>
      <c r="AS49" s="513"/>
      <c r="AT49" s="513"/>
      <c r="AU49" s="513"/>
      <c r="AV49" s="513"/>
      <c r="AW49" s="513"/>
      <c r="AX49" s="513"/>
      <c r="AY49" s="513"/>
      <c r="AZ49" s="513"/>
      <c r="BA49" s="513"/>
      <c r="BB49" s="513"/>
      <c r="BC49" s="513"/>
      <c r="BD49" s="513"/>
      <c r="BE49" s="513"/>
      <c r="BF49" s="513"/>
      <c r="BG49" s="513"/>
      <c r="BH49" s="86"/>
    </row>
    <row r="50" spans="2:60" x14ac:dyDescent="0.3">
      <c r="B50" s="107"/>
      <c r="C50" s="513"/>
      <c r="D50" s="513"/>
      <c r="E50" s="513"/>
      <c r="F50" s="513"/>
      <c r="G50" s="513"/>
      <c r="H50" s="513"/>
      <c r="I50" s="513"/>
      <c r="J50" s="513"/>
      <c r="K50" s="513"/>
      <c r="L50" s="513"/>
      <c r="M50" s="513"/>
      <c r="N50" s="513"/>
      <c r="O50" s="513"/>
      <c r="P50" s="513"/>
      <c r="Q50" s="513"/>
      <c r="R50" s="513"/>
      <c r="S50" s="513"/>
      <c r="T50" s="513"/>
      <c r="U50" s="513"/>
      <c r="V50" s="513"/>
      <c r="W50" s="513"/>
      <c r="X50" s="513"/>
      <c r="Y50" s="513"/>
      <c r="Z50" s="513"/>
      <c r="AA50" s="513"/>
      <c r="AB50" s="513"/>
      <c r="AC50" s="513"/>
      <c r="AD50" s="513"/>
      <c r="AE50" s="513"/>
      <c r="AF50" s="513"/>
      <c r="AG50" s="513"/>
      <c r="AH50" s="513"/>
      <c r="AI50" s="513"/>
      <c r="AJ50" s="513"/>
      <c r="AK50" s="513"/>
      <c r="AL50" s="513"/>
      <c r="AM50" s="513"/>
      <c r="AN50" s="513"/>
      <c r="AO50" s="513"/>
      <c r="AP50" s="513"/>
      <c r="AQ50" s="513"/>
      <c r="AR50" s="513"/>
      <c r="AS50" s="513"/>
      <c r="AT50" s="513"/>
      <c r="AU50" s="513"/>
      <c r="AV50" s="513"/>
      <c r="AW50" s="513"/>
      <c r="AX50" s="513"/>
      <c r="AY50" s="513"/>
      <c r="AZ50" s="513"/>
      <c r="BA50" s="513"/>
      <c r="BB50" s="513"/>
      <c r="BC50" s="513"/>
      <c r="BD50" s="513"/>
      <c r="BE50" s="513"/>
      <c r="BF50" s="513"/>
      <c r="BG50" s="513"/>
      <c r="BH50" s="86"/>
    </row>
    <row r="51" spans="2:60" x14ac:dyDescent="0.3">
      <c r="B51" s="107"/>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3"/>
      <c r="AC51" s="513"/>
      <c r="AD51" s="513"/>
      <c r="AE51" s="513"/>
      <c r="AF51" s="513"/>
      <c r="AG51" s="513"/>
      <c r="AH51" s="513"/>
      <c r="AI51" s="513"/>
      <c r="AJ51" s="513"/>
      <c r="AK51" s="513"/>
      <c r="AL51" s="513"/>
      <c r="AM51" s="513"/>
      <c r="AN51" s="513"/>
      <c r="AO51" s="513"/>
      <c r="AP51" s="513"/>
      <c r="AQ51" s="513"/>
      <c r="AR51" s="513"/>
      <c r="AS51" s="513"/>
      <c r="AT51" s="513"/>
      <c r="AU51" s="513"/>
      <c r="AV51" s="513"/>
      <c r="AW51" s="513"/>
      <c r="AX51" s="513"/>
      <c r="AY51" s="513"/>
      <c r="AZ51" s="513"/>
      <c r="BA51" s="513"/>
      <c r="BB51" s="513"/>
      <c r="BC51" s="513"/>
      <c r="BD51" s="513"/>
      <c r="BE51" s="513"/>
      <c r="BF51" s="513"/>
      <c r="BG51" s="513"/>
      <c r="BH51" s="86"/>
    </row>
    <row r="52" spans="2:60" x14ac:dyDescent="0.3">
      <c r="B52" s="107"/>
      <c r="C52" s="513"/>
      <c r="D52" s="513"/>
      <c r="E52" s="513"/>
      <c r="F52" s="513"/>
      <c r="G52" s="513"/>
      <c r="H52" s="513"/>
      <c r="I52" s="513"/>
      <c r="J52" s="513"/>
      <c r="K52" s="513"/>
      <c r="L52" s="513"/>
      <c r="M52" s="513"/>
      <c r="N52" s="513"/>
      <c r="O52" s="513"/>
      <c r="P52" s="513"/>
      <c r="Q52" s="513"/>
      <c r="R52" s="513"/>
      <c r="S52" s="513"/>
      <c r="T52" s="513"/>
      <c r="U52" s="513"/>
      <c r="V52" s="513"/>
      <c r="W52" s="513"/>
      <c r="X52" s="513"/>
      <c r="Y52" s="513"/>
      <c r="Z52" s="513"/>
      <c r="AA52" s="513"/>
      <c r="AB52" s="513"/>
      <c r="AC52" s="513"/>
      <c r="AD52" s="513"/>
      <c r="AE52" s="513"/>
      <c r="AF52" s="513"/>
      <c r="AG52" s="513"/>
      <c r="AH52" s="513"/>
      <c r="AI52" s="513"/>
      <c r="AJ52" s="513"/>
      <c r="AK52" s="513"/>
      <c r="AL52" s="513"/>
      <c r="AM52" s="513"/>
      <c r="AN52" s="513"/>
      <c r="AO52" s="513"/>
      <c r="AP52" s="513"/>
      <c r="AQ52" s="513"/>
      <c r="AR52" s="513"/>
      <c r="AS52" s="513"/>
      <c r="AT52" s="513"/>
      <c r="AU52" s="513"/>
      <c r="AV52" s="513"/>
      <c r="AW52" s="513"/>
      <c r="AX52" s="513"/>
      <c r="AY52" s="513"/>
      <c r="AZ52" s="513"/>
      <c r="BA52" s="513"/>
      <c r="BB52" s="513"/>
      <c r="BC52" s="513"/>
      <c r="BD52" s="513"/>
      <c r="BE52" s="513"/>
      <c r="BF52" s="513"/>
      <c r="BG52" s="513"/>
      <c r="BH52" s="86"/>
    </row>
    <row r="53" spans="2:60" x14ac:dyDescent="0.3">
      <c r="B53" s="107"/>
      <c r="C53" s="513"/>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3"/>
      <c r="AU53" s="513"/>
      <c r="AV53" s="513"/>
      <c r="AW53" s="513"/>
      <c r="AX53" s="513"/>
      <c r="AY53" s="513"/>
      <c r="AZ53" s="513"/>
      <c r="BA53" s="513"/>
      <c r="BB53" s="513"/>
      <c r="BC53" s="513"/>
      <c r="BD53" s="513"/>
      <c r="BE53" s="513"/>
      <c r="BF53" s="513"/>
      <c r="BG53" s="513"/>
      <c r="BH53" s="86"/>
    </row>
    <row r="54" spans="2:60" x14ac:dyDescent="0.3">
      <c r="B54" s="107"/>
      <c r="C54" s="513"/>
      <c r="D54" s="513"/>
      <c r="E54" s="513"/>
      <c r="F54" s="513"/>
      <c r="G54" s="513"/>
      <c r="H54" s="513"/>
      <c r="I54" s="513"/>
      <c r="J54" s="513"/>
      <c r="K54" s="513"/>
      <c r="L54" s="513"/>
      <c r="M54" s="513"/>
      <c r="N54" s="513"/>
      <c r="O54" s="513"/>
      <c r="P54" s="513"/>
      <c r="Q54" s="513"/>
      <c r="R54" s="513"/>
      <c r="S54" s="513"/>
      <c r="T54" s="513"/>
      <c r="U54" s="513"/>
      <c r="V54" s="513"/>
      <c r="W54" s="513"/>
      <c r="X54" s="513"/>
      <c r="Y54" s="513"/>
      <c r="Z54" s="513"/>
      <c r="AA54" s="513"/>
      <c r="AB54" s="513"/>
      <c r="AC54" s="513"/>
      <c r="AD54" s="513"/>
      <c r="AE54" s="513"/>
      <c r="AF54" s="513"/>
      <c r="AG54" s="513"/>
      <c r="AH54" s="513"/>
      <c r="AI54" s="513"/>
      <c r="AJ54" s="513"/>
      <c r="AK54" s="513"/>
      <c r="AL54" s="513"/>
      <c r="AM54" s="513"/>
      <c r="AN54" s="513"/>
      <c r="AO54" s="513"/>
      <c r="AP54" s="513"/>
      <c r="AQ54" s="513"/>
      <c r="AR54" s="513"/>
      <c r="AS54" s="513"/>
      <c r="AT54" s="513"/>
      <c r="AU54" s="513"/>
      <c r="AV54" s="513"/>
      <c r="AW54" s="513"/>
      <c r="AX54" s="513"/>
      <c r="AY54" s="513"/>
      <c r="AZ54" s="513"/>
      <c r="BA54" s="513"/>
      <c r="BB54" s="513"/>
      <c r="BC54" s="513"/>
      <c r="BD54" s="513"/>
      <c r="BE54" s="513"/>
      <c r="BF54" s="513"/>
      <c r="BG54" s="513"/>
      <c r="BH54" s="86"/>
    </row>
    <row r="55" spans="2:60" x14ac:dyDescent="0.3">
      <c r="B55" s="107"/>
      <c r="C55" s="513"/>
      <c r="D55" s="513"/>
      <c r="E55" s="513"/>
      <c r="F55" s="513"/>
      <c r="G55" s="513"/>
      <c r="H55" s="513"/>
      <c r="I55" s="513"/>
      <c r="J55" s="513"/>
      <c r="K55" s="513"/>
      <c r="L55" s="513"/>
      <c r="M55" s="513"/>
      <c r="N55" s="513"/>
      <c r="O55" s="513"/>
      <c r="P55" s="513"/>
      <c r="Q55" s="513"/>
      <c r="R55" s="513"/>
      <c r="S55" s="513"/>
      <c r="T55" s="513"/>
      <c r="U55" s="513"/>
      <c r="V55" s="513"/>
      <c r="W55" s="513"/>
      <c r="X55" s="513"/>
      <c r="Y55" s="513"/>
      <c r="Z55" s="513"/>
      <c r="AA55" s="513"/>
      <c r="AB55" s="513"/>
      <c r="AC55" s="513"/>
      <c r="AD55" s="513"/>
      <c r="AE55" s="513"/>
      <c r="AF55" s="513"/>
      <c r="AG55" s="513"/>
      <c r="AH55" s="513"/>
      <c r="AI55" s="513"/>
      <c r="AJ55" s="513"/>
      <c r="AK55" s="513"/>
      <c r="AL55" s="513"/>
      <c r="AM55" s="513"/>
      <c r="AN55" s="513"/>
      <c r="AO55" s="513"/>
      <c r="AP55" s="513"/>
      <c r="AQ55" s="513"/>
      <c r="AR55" s="513"/>
      <c r="AS55" s="513"/>
      <c r="AT55" s="513"/>
      <c r="AU55" s="513"/>
      <c r="AV55" s="513"/>
      <c r="AW55" s="513"/>
      <c r="AX55" s="513"/>
      <c r="AY55" s="513"/>
      <c r="AZ55" s="513"/>
      <c r="BA55" s="513"/>
      <c r="BB55" s="513"/>
      <c r="BC55" s="513"/>
      <c r="BD55" s="513"/>
      <c r="BE55" s="513"/>
      <c r="BF55" s="513"/>
      <c r="BG55" s="513"/>
      <c r="BH55" s="86"/>
    </row>
    <row r="56" spans="2:60" x14ac:dyDescent="0.3">
      <c r="B56" s="107"/>
      <c r="C56" s="513"/>
      <c r="D56" s="513"/>
      <c r="E56" s="513"/>
      <c r="F56" s="513"/>
      <c r="G56" s="513"/>
      <c r="H56" s="513"/>
      <c r="I56" s="513"/>
      <c r="J56" s="513"/>
      <c r="K56" s="513"/>
      <c r="L56" s="513"/>
      <c r="M56" s="513"/>
      <c r="N56" s="513"/>
      <c r="O56" s="513"/>
      <c r="P56" s="513"/>
      <c r="Q56" s="513"/>
      <c r="R56" s="513"/>
      <c r="S56" s="513"/>
      <c r="T56" s="513"/>
      <c r="U56" s="513"/>
      <c r="V56" s="513"/>
      <c r="W56" s="513"/>
      <c r="X56" s="513"/>
      <c r="Y56" s="513"/>
      <c r="Z56" s="513"/>
      <c r="AA56" s="513"/>
      <c r="AB56" s="513"/>
      <c r="AC56" s="513"/>
      <c r="AD56" s="513"/>
      <c r="AE56" s="513"/>
      <c r="AF56" s="513"/>
      <c r="AG56" s="513"/>
      <c r="AH56" s="513"/>
      <c r="AI56" s="513"/>
      <c r="AJ56" s="513"/>
      <c r="AK56" s="513"/>
      <c r="AL56" s="513"/>
      <c r="AM56" s="513"/>
      <c r="AN56" s="513"/>
      <c r="AO56" s="513"/>
      <c r="AP56" s="513"/>
      <c r="AQ56" s="513"/>
      <c r="AR56" s="513"/>
      <c r="AS56" s="513"/>
      <c r="AT56" s="513"/>
      <c r="AU56" s="513"/>
      <c r="AV56" s="513"/>
      <c r="AW56" s="513"/>
      <c r="AX56" s="513"/>
      <c r="AY56" s="513"/>
      <c r="AZ56" s="513"/>
      <c r="BA56" s="513"/>
      <c r="BB56" s="513"/>
      <c r="BC56" s="513"/>
      <c r="BD56" s="513"/>
      <c r="BE56" s="513"/>
      <c r="BF56" s="513"/>
      <c r="BG56" s="513"/>
      <c r="BH56" s="86"/>
    </row>
    <row r="57" spans="2:60" x14ac:dyDescent="0.3">
      <c r="B57" s="107"/>
      <c r="C57" s="513"/>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c r="AI57" s="513"/>
      <c r="AJ57" s="513"/>
      <c r="AK57" s="513"/>
      <c r="AL57" s="513"/>
      <c r="AM57" s="513"/>
      <c r="AN57" s="513"/>
      <c r="AO57" s="513"/>
      <c r="AP57" s="513"/>
      <c r="AQ57" s="513"/>
      <c r="AR57" s="513"/>
      <c r="AS57" s="513"/>
      <c r="AT57" s="513"/>
      <c r="AU57" s="513"/>
      <c r="AV57" s="513"/>
      <c r="AW57" s="513"/>
      <c r="AX57" s="513"/>
      <c r="AY57" s="513"/>
      <c r="AZ57" s="513"/>
      <c r="BA57" s="513"/>
      <c r="BB57" s="513"/>
      <c r="BC57" s="513"/>
      <c r="BD57" s="513"/>
      <c r="BE57" s="513"/>
      <c r="BF57" s="513"/>
      <c r="BG57" s="513"/>
      <c r="BH57" s="86"/>
    </row>
    <row r="58" spans="2:60" ht="15" thickBot="1" x14ac:dyDescent="0.35">
      <c r="B58" s="108"/>
      <c r="C58" s="109"/>
      <c r="D58" s="109"/>
      <c r="E58" s="109"/>
      <c r="F58" s="109"/>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88"/>
    </row>
  </sheetData>
  <sheetProtection algorithmName="SHA-512" hashValue="o9G8yX2LuapBq+8RYCIYNsIfai+JE1oxRNhHGpbwi/e/8GBYwHjLxFMjr5F4a8lSJ2KepUGwjCghtCGHfl1KUA==" saltValue="b7fiKN4DD9ml1pG1WycWLw==" spinCount="100000" sheet="1" scenarios="1" formatCells="0" selectLockedCells="1"/>
  <mergeCells count="25">
    <mergeCell ref="C11:BG57"/>
    <mergeCell ref="L1:AX2"/>
    <mergeCell ref="L4:S4"/>
    <mergeCell ref="H8:O8"/>
    <mergeCell ref="P8:AC8"/>
    <mergeCell ref="AD8:AK8"/>
    <mergeCell ref="AL8:BB8"/>
    <mergeCell ref="T4:AC4"/>
    <mergeCell ref="AD4:AL4"/>
    <mergeCell ref="AM4:AX4"/>
    <mergeCell ref="L5:S5"/>
    <mergeCell ref="T5:AC5"/>
    <mergeCell ref="AD5:AL5"/>
    <mergeCell ref="AY1:BH5"/>
    <mergeCell ref="B1:F5"/>
    <mergeCell ref="G1:K5"/>
    <mergeCell ref="H7:O7"/>
    <mergeCell ref="P7:AC7"/>
    <mergeCell ref="AD7:AK7"/>
    <mergeCell ref="AL7:BB7"/>
    <mergeCell ref="L3:S3"/>
    <mergeCell ref="T3:AL3"/>
    <mergeCell ref="AM3:AQ3"/>
    <mergeCell ref="AR3:AX3"/>
    <mergeCell ref="AM5:AX5"/>
  </mergeCells>
  <conditionalFormatting sqref="T3:AL3 AR3:AX3 T4:AC4">
    <cfRule type="cellIs" dxfId="42" priority="1" operator="equal">
      <formula>""</formula>
    </cfRule>
  </conditionalFormatting>
  <conditionalFormatting sqref="AM4:AX5 T5 P7:AC8 AL7:BB8">
    <cfRule type="cellIs" dxfId="41" priority="2" operator="equal">
      <formula>""</formula>
    </cfRule>
  </conditionalFormatting>
  <dataValidations disablePrompts="1" count="1">
    <dataValidation type="list" allowBlank="1" showInputMessage="1" showErrorMessage="1" sqref="AX9:BB9" xr:uid="{9C8068CA-6FC8-433A-89D6-1C1990723CA9}">
      <formula1>#REF!</formula1>
    </dataValidation>
  </dataValidations>
  <pageMargins left="0.31496062992125984" right="0.31496062992125984" top="0.31496062992125984" bottom="0.31496062992125984" header="0" footer="0"/>
  <pageSetup paperSize="9" scale="70" fitToWidth="0" fitToHeight="0"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03032-F08D-4D69-96F8-10F3B945BE7A}">
  <sheetPr codeName="Tabelle9">
    <tabColor theme="5" tint="-0.249977111117893"/>
  </sheetPr>
  <dimension ref="A1:CR71"/>
  <sheetViews>
    <sheetView showGridLines="0" showWhiteSpace="0" view="pageLayout" topLeftCell="B1" zoomScaleNormal="130" zoomScaleSheetLayoutView="85" workbookViewId="0">
      <selection activeCell="I17" sqref="I17"/>
    </sheetView>
  </sheetViews>
  <sheetFormatPr baseColWidth="10" defaultColWidth="6.5546875" defaultRowHeight="14.4" x14ac:dyDescent="0.3"/>
  <cols>
    <col min="1" max="17" width="3.33203125" style="7" customWidth="1"/>
    <col min="18" max="18" width="4.77734375" style="7" customWidth="1"/>
    <col min="19" max="32" width="3.33203125" style="7" customWidth="1"/>
    <col min="33" max="42" width="3.33203125" customWidth="1"/>
    <col min="43" max="43" width="3.33203125" style="72" customWidth="1"/>
    <col min="44" max="49" width="3.33203125" customWidth="1"/>
    <col min="50" max="50" width="4.77734375" customWidth="1"/>
    <col min="51" max="81" width="3.33203125" customWidth="1"/>
    <col min="82" max="82" width="4.77734375" customWidth="1"/>
    <col min="83" max="133" width="3.33203125" customWidth="1"/>
  </cols>
  <sheetData>
    <row r="1" spans="1:96" ht="12" customHeight="1" x14ac:dyDescent="0.3">
      <c r="A1" s="333" t="str">
        <f>HLOOKUP(Language!$B$2,Language!$C$12:$H$656,151)</f>
        <v>Extended information</v>
      </c>
      <c r="B1" s="334"/>
      <c r="C1" s="334"/>
      <c r="D1" s="334"/>
      <c r="E1" s="334"/>
      <c r="F1" s="334"/>
      <c r="G1" s="334"/>
      <c r="H1" s="334"/>
      <c r="I1" s="334"/>
      <c r="J1" s="334"/>
      <c r="K1" s="334"/>
      <c r="L1" s="334"/>
      <c r="M1" s="334"/>
      <c r="N1" s="334"/>
      <c r="O1" s="334"/>
      <c r="P1" s="334"/>
      <c r="Q1" s="334"/>
      <c r="R1" s="334"/>
      <c r="S1" s="334"/>
      <c r="T1" s="334"/>
      <c r="U1" s="334"/>
      <c r="V1" s="334"/>
      <c r="W1" s="334"/>
      <c r="X1" s="334"/>
      <c r="Y1" s="268" t="e" vm="1">
        <v>#VALUE!</v>
      </c>
      <c r="Z1" s="269"/>
      <c r="AA1" s="269"/>
      <c r="AB1" s="269"/>
      <c r="AC1" s="269"/>
      <c r="AD1" s="269"/>
      <c r="AE1" s="269"/>
      <c r="AF1" s="270"/>
      <c r="AG1" s="333" t="str">
        <f>HLOOKUP(Language!$B$2,Language!$C$12:$H$656,151)</f>
        <v>Extended information</v>
      </c>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268" t="e" vm="1">
        <v>#VALUE!</v>
      </c>
      <c r="BF1" s="269"/>
      <c r="BG1" s="269"/>
      <c r="BH1" s="269"/>
      <c r="BI1" s="269"/>
      <c r="BJ1" s="269"/>
      <c r="BK1" s="269"/>
      <c r="BL1" s="270"/>
      <c r="BM1" s="333" t="str">
        <f>HLOOKUP(Language!$B$2,Language!$C$12:$H$656,151)</f>
        <v>Extended information</v>
      </c>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268" t="e" vm="1">
        <v>#VALUE!</v>
      </c>
      <c r="CL1" s="269"/>
      <c r="CM1" s="269"/>
      <c r="CN1" s="269"/>
      <c r="CO1" s="269"/>
      <c r="CP1" s="269"/>
      <c r="CQ1" s="269"/>
      <c r="CR1" s="270"/>
    </row>
    <row r="2" spans="1:96" ht="12" customHeight="1" x14ac:dyDescent="0.3">
      <c r="A2" s="335"/>
      <c r="B2" s="336"/>
      <c r="C2" s="336"/>
      <c r="D2" s="336"/>
      <c r="E2" s="336"/>
      <c r="F2" s="336"/>
      <c r="G2" s="336"/>
      <c r="H2" s="336"/>
      <c r="I2" s="336"/>
      <c r="J2" s="336"/>
      <c r="K2" s="336"/>
      <c r="L2" s="336"/>
      <c r="M2" s="336"/>
      <c r="N2" s="336"/>
      <c r="O2" s="336"/>
      <c r="P2" s="336"/>
      <c r="Q2" s="336"/>
      <c r="R2" s="336"/>
      <c r="S2" s="336"/>
      <c r="T2" s="336"/>
      <c r="U2" s="336"/>
      <c r="V2" s="336"/>
      <c r="W2" s="336"/>
      <c r="X2" s="336"/>
      <c r="Y2" s="271"/>
      <c r="Z2" s="272"/>
      <c r="AA2" s="272"/>
      <c r="AB2" s="272"/>
      <c r="AC2" s="272"/>
      <c r="AD2" s="272"/>
      <c r="AE2" s="272"/>
      <c r="AF2" s="273"/>
      <c r="AG2" s="335"/>
      <c r="AH2" s="336"/>
      <c r="AI2" s="336"/>
      <c r="AJ2" s="336"/>
      <c r="AK2" s="336"/>
      <c r="AL2" s="336"/>
      <c r="AM2" s="336"/>
      <c r="AN2" s="336"/>
      <c r="AO2" s="336"/>
      <c r="AP2" s="336"/>
      <c r="AQ2" s="336"/>
      <c r="AR2" s="336"/>
      <c r="AS2" s="336"/>
      <c r="AT2" s="336"/>
      <c r="AU2" s="336"/>
      <c r="AV2" s="336"/>
      <c r="AW2" s="336"/>
      <c r="AX2" s="336"/>
      <c r="AY2" s="336"/>
      <c r="AZ2" s="336"/>
      <c r="BA2" s="336"/>
      <c r="BB2" s="336"/>
      <c r="BC2" s="336"/>
      <c r="BD2" s="336"/>
      <c r="BE2" s="271"/>
      <c r="BF2" s="272"/>
      <c r="BG2" s="272"/>
      <c r="BH2" s="272"/>
      <c r="BI2" s="272"/>
      <c r="BJ2" s="272"/>
      <c r="BK2" s="272"/>
      <c r="BL2" s="273"/>
      <c r="BM2" s="335"/>
      <c r="BN2" s="336"/>
      <c r="BO2" s="336"/>
      <c r="BP2" s="336"/>
      <c r="BQ2" s="336"/>
      <c r="BR2" s="336"/>
      <c r="BS2" s="336"/>
      <c r="BT2" s="336"/>
      <c r="BU2" s="336"/>
      <c r="BV2" s="336"/>
      <c r="BW2" s="336"/>
      <c r="BX2" s="336"/>
      <c r="BY2" s="336"/>
      <c r="BZ2" s="336"/>
      <c r="CA2" s="336"/>
      <c r="CB2" s="336"/>
      <c r="CC2" s="336"/>
      <c r="CD2" s="336"/>
      <c r="CE2" s="336"/>
      <c r="CF2" s="336"/>
      <c r="CG2" s="336"/>
      <c r="CH2" s="336"/>
      <c r="CI2" s="336"/>
      <c r="CJ2" s="336"/>
      <c r="CK2" s="271"/>
      <c r="CL2" s="272"/>
      <c r="CM2" s="272"/>
      <c r="CN2" s="272"/>
      <c r="CO2" s="272"/>
      <c r="CP2" s="272"/>
      <c r="CQ2" s="272"/>
      <c r="CR2" s="273"/>
    </row>
    <row r="3" spans="1:96" ht="30.6" customHeight="1" x14ac:dyDescent="0.3">
      <c r="A3" s="337" t="str">
        <f>HLOOKUP(Language!$B$2,Language!$C$12:$H$656,8)</f>
        <v>Contact Person (Customer):</v>
      </c>
      <c r="B3" s="338"/>
      <c r="C3" s="338"/>
      <c r="D3" s="338"/>
      <c r="E3" s="339"/>
      <c r="F3" s="338" t="str">
        <f>IF('D1-D3'!$G$3="","",'D1-D3'!$G$3)</f>
        <v/>
      </c>
      <c r="G3" s="338"/>
      <c r="H3" s="338"/>
      <c r="I3" s="338"/>
      <c r="J3" s="338"/>
      <c r="K3" s="338"/>
      <c r="L3" s="338"/>
      <c r="M3" s="338"/>
      <c r="N3" s="338"/>
      <c r="O3" s="338"/>
      <c r="P3" s="338"/>
      <c r="Q3" s="338"/>
      <c r="R3" s="338"/>
      <c r="S3" s="349" t="str">
        <f>HLOOKUP(Language!$B$2,Language!$C$12:$H$656,5)</f>
        <v>8D started on:</v>
      </c>
      <c r="T3" s="338"/>
      <c r="U3" s="339"/>
      <c r="V3" s="411" t="str">
        <f>IF('D1-D3'!$W$3="","",'D1-D3'!$W$3)</f>
        <v/>
      </c>
      <c r="W3" s="411"/>
      <c r="X3" s="412"/>
      <c r="Y3" s="271"/>
      <c r="Z3" s="272"/>
      <c r="AA3" s="272"/>
      <c r="AB3" s="272"/>
      <c r="AC3" s="272"/>
      <c r="AD3" s="272"/>
      <c r="AE3" s="272"/>
      <c r="AF3" s="273"/>
      <c r="AG3" s="337" t="str">
        <f>HLOOKUP(Language!$B$2,Language!$C$12:$H$656,8)</f>
        <v>Contact Person (Customer):</v>
      </c>
      <c r="AH3" s="338"/>
      <c r="AI3" s="338"/>
      <c r="AJ3" s="338"/>
      <c r="AK3" s="339"/>
      <c r="AL3" s="338" t="str">
        <f>IF('D1-D3'!$G$3="","",'D1-D3'!$G$3)</f>
        <v/>
      </c>
      <c r="AM3" s="338"/>
      <c r="AN3" s="338"/>
      <c r="AO3" s="338"/>
      <c r="AP3" s="338"/>
      <c r="AQ3" s="338"/>
      <c r="AR3" s="338"/>
      <c r="AS3" s="338"/>
      <c r="AT3" s="338"/>
      <c r="AU3" s="338"/>
      <c r="AV3" s="338"/>
      <c r="AW3" s="338"/>
      <c r="AX3" s="338"/>
      <c r="AY3" s="349" t="str">
        <f>HLOOKUP(Language!$B$2,Language!$C$12:$H$656,5)</f>
        <v>8D started on:</v>
      </c>
      <c r="AZ3" s="338"/>
      <c r="BA3" s="339"/>
      <c r="BB3" s="411" t="str">
        <f>IF('D1-D3'!$W$3="","",'D1-D3'!$W$3)</f>
        <v/>
      </c>
      <c r="BC3" s="411"/>
      <c r="BD3" s="412"/>
      <c r="BE3" s="271"/>
      <c r="BF3" s="272"/>
      <c r="BG3" s="272"/>
      <c r="BH3" s="272"/>
      <c r="BI3" s="272"/>
      <c r="BJ3" s="272"/>
      <c r="BK3" s="272"/>
      <c r="BL3" s="273"/>
      <c r="BM3" s="337" t="str">
        <f>HLOOKUP(Language!$B$2,Language!$C$12:$H$656,8)</f>
        <v>Contact Person (Customer):</v>
      </c>
      <c r="BN3" s="338"/>
      <c r="BO3" s="338"/>
      <c r="BP3" s="338"/>
      <c r="BQ3" s="339"/>
      <c r="BR3" s="349" t="str">
        <f>IF('D1-D3'!$G$3="","",'D1-D3'!$G$3)</f>
        <v/>
      </c>
      <c r="BS3" s="338"/>
      <c r="BT3" s="338"/>
      <c r="BU3" s="338"/>
      <c r="BV3" s="338"/>
      <c r="BW3" s="338"/>
      <c r="BX3" s="338"/>
      <c r="BY3" s="338"/>
      <c r="BZ3" s="338"/>
      <c r="CA3" s="338"/>
      <c r="CB3" s="338"/>
      <c r="CC3" s="338"/>
      <c r="CD3" s="339"/>
      <c r="CE3" s="349" t="str">
        <f>HLOOKUP(Language!$B$2,Language!$C$12:$H$656,5)</f>
        <v>8D started on:</v>
      </c>
      <c r="CF3" s="338"/>
      <c r="CG3" s="339"/>
      <c r="CH3" s="411" t="str">
        <f>IF('D1-D3'!$W$3="","",'D1-D3'!$W$3)</f>
        <v/>
      </c>
      <c r="CI3" s="411"/>
      <c r="CJ3" s="412"/>
      <c r="CK3" s="271"/>
      <c r="CL3" s="272"/>
      <c r="CM3" s="272"/>
      <c r="CN3" s="272"/>
      <c r="CO3" s="272"/>
      <c r="CP3" s="272"/>
      <c r="CQ3" s="272"/>
      <c r="CR3" s="273"/>
    </row>
    <row r="4" spans="1:96" ht="12" customHeight="1" x14ac:dyDescent="0.3">
      <c r="A4" s="340" t="str">
        <f>HLOOKUP(Language!$B$2,Language!$C$12:$H$656,7)</f>
        <v>Customer:</v>
      </c>
      <c r="B4" s="311"/>
      <c r="C4" s="311"/>
      <c r="D4" s="311"/>
      <c r="E4" s="312"/>
      <c r="F4" s="395" t="str">
        <f>IF('D1-D3'!$G$4="","",'D1-D3'!$G$4)</f>
        <v/>
      </c>
      <c r="G4" s="396"/>
      <c r="H4" s="396"/>
      <c r="I4" s="396"/>
      <c r="J4" s="396"/>
      <c r="K4" s="397"/>
      <c r="L4" s="310" t="str">
        <f>HLOOKUP(Language!$B$2,Language!$C$12:$H$656,15)</f>
        <v>Supplier:</v>
      </c>
      <c r="M4" s="311"/>
      <c r="N4" s="311"/>
      <c r="O4" s="311"/>
      <c r="P4" s="311"/>
      <c r="Q4" s="311"/>
      <c r="R4" s="312"/>
      <c r="S4" s="395" t="str">
        <f>IF('D1-D3'!$T$4="","",'D1-D3'!$T$4)</f>
        <v/>
      </c>
      <c r="T4" s="396"/>
      <c r="U4" s="396"/>
      <c r="V4" s="396"/>
      <c r="W4" s="396"/>
      <c r="X4" s="415"/>
      <c r="Y4" s="250"/>
      <c r="Z4" s="274" t="str">
        <f>HLOOKUP(Language!$B$2,Language!$C$12:$H$656,6)</f>
        <v>ELS:840 01 04
EOT:4 1021 03-02T
PEL:100 02 03</v>
      </c>
      <c r="AA4" s="274"/>
      <c r="AB4" s="274"/>
      <c r="AC4" s="274"/>
      <c r="AD4" s="276" t="str">
        <f>'D1-D3'!AE4</f>
        <v>Rev.07</v>
      </c>
      <c r="AE4" s="276"/>
      <c r="AF4" s="251"/>
      <c r="AG4" s="340" t="str">
        <f>HLOOKUP(Language!$B$2,Language!$C$12:$H$656,7)</f>
        <v>Customer:</v>
      </c>
      <c r="AH4" s="311"/>
      <c r="AI4" s="311"/>
      <c r="AJ4" s="311"/>
      <c r="AK4" s="312"/>
      <c r="AL4" s="395" t="str">
        <f>IF('D1-D3'!$G$4="","",'D1-D3'!$G$4)</f>
        <v/>
      </c>
      <c r="AM4" s="396"/>
      <c r="AN4" s="396"/>
      <c r="AO4" s="396"/>
      <c r="AP4" s="396"/>
      <c r="AQ4" s="397"/>
      <c r="AR4" s="310" t="str">
        <f>HLOOKUP(Language!$B$2,Language!$C$12:$H$656,15)</f>
        <v>Supplier:</v>
      </c>
      <c r="AS4" s="311"/>
      <c r="AT4" s="311"/>
      <c r="AU4" s="311"/>
      <c r="AV4" s="311"/>
      <c r="AW4" s="311"/>
      <c r="AX4" s="312"/>
      <c r="AY4" s="395" t="str">
        <f>IF('D1-D3'!$T$4="","",'D1-D3'!$T$4)</f>
        <v/>
      </c>
      <c r="AZ4" s="396"/>
      <c r="BA4" s="396"/>
      <c r="BB4" s="396"/>
      <c r="BC4" s="396"/>
      <c r="BD4" s="415"/>
      <c r="BE4" s="250"/>
      <c r="BF4" s="274" t="str">
        <f>HLOOKUP(Language!$B$2,Language!$C$12:$H$656,6)</f>
        <v>ELS:840 01 04
EOT:4 1021 03-02T
PEL:100 02 03</v>
      </c>
      <c r="BG4" s="274"/>
      <c r="BH4" s="274"/>
      <c r="BI4" s="274"/>
      <c r="BJ4" s="276" t="str">
        <f>'D1-D3'!AE4</f>
        <v>Rev.07</v>
      </c>
      <c r="BK4" s="276"/>
      <c r="BL4" s="251"/>
      <c r="BM4" s="340" t="str">
        <f>HLOOKUP(Language!$B$2,Language!$C$12:$H$656,7)</f>
        <v>Customer:</v>
      </c>
      <c r="BN4" s="311"/>
      <c r="BO4" s="311"/>
      <c r="BP4" s="311"/>
      <c r="BQ4" s="312"/>
      <c r="BR4" s="395" t="str">
        <f>IF('D1-D3'!$G$4="","",'D1-D3'!$G$4)</f>
        <v/>
      </c>
      <c r="BS4" s="396"/>
      <c r="BT4" s="396"/>
      <c r="BU4" s="396"/>
      <c r="BV4" s="396"/>
      <c r="BW4" s="397"/>
      <c r="BX4" s="310" t="str">
        <f>HLOOKUP(Language!$B$2,Language!$C$12:$H$656,15)</f>
        <v>Supplier:</v>
      </c>
      <c r="BY4" s="311"/>
      <c r="BZ4" s="311"/>
      <c r="CA4" s="311"/>
      <c r="CB4" s="311"/>
      <c r="CC4" s="311"/>
      <c r="CD4" s="312"/>
      <c r="CE4" s="395" t="str">
        <f>IF('D1-D3'!$T$4="","",'D1-D3'!$T$4)</f>
        <v/>
      </c>
      <c r="CF4" s="396"/>
      <c r="CG4" s="396"/>
      <c r="CH4" s="396"/>
      <c r="CI4" s="396"/>
      <c r="CJ4" s="415"/>
      <c r="CK4" s="250"/>
      <c r="CL4" s="274" t="str">
        <f>HLOOKUP(Language!$B$2,Language!$C$12:$H$656,6)</f>
        <v>ELS:840 01 04
EOT:4 1021 03-02T
PEL:100 02 03</v>
      </c>
      <c r="CM4" s="274"/>
      <c r="CN4" s="274"/>
      <c r="CO4" s="274"/>
      <c r="CP4" s="276" t="str">
        <f>'D1-D3'!AE4</f>
        <v>Rev.07</v>
      </c>
      <c r="CQ4" s="276"/>
      <c r="CR4" s="251"/>
    </row>
    <row r="5" spans="1:96" s="141" customFormat="1" ht="21" customHeight="1" thickBot="1" x14ac:dyDescent="0.35">
      <c r="A5" s="341" t="str">
        <f>HLOOKUP(Language!$B$2,Language!$C$12:$H$656,9)</f>
        <v>Complaint number (Customer):</v>
      </c>
      <c r="B5" s="342"/>
      <c r="C5" s="342"/>
      <c r="D5" s="342"/>
      <c r="E5" s="343"/>
      <c r="F5" s="519" t="str">
        <f>IF('D1-D3'!$G$5="","",'D1-D3'!$G$5)</f>
        <v/>
      </c>
      <c r="G5" s="517"/>
      <c r="H5" s="517"/>
      <c r="I5" s="517"/>
      <c r="J5" s="517"/>
      <c r="K5" s="518"/>
      <c r="L5" s="485" t="str">
        <f>HLOOKUP(Language!$B$2,Language!$C$12:$H$656,14)</f>
        <v>Complaint number (Supplier):</v>
      </c>
      <c r="M5" s="486"/>
      <c r="N5" s="486"/>
      <c r="O5" s="486"/>
      <c r="P5" s="486"/>
      <c r="Q5" s="486"/>
      <c r="R5" s="487"/>
      <c r="S5" s="519" t="str">
        <f>IF('D1-D3'!$T$5="","",'D1-D3'!$T$5)</f>
        <v/>
      </c>
      <c r="T5" s="517"/>
      <c r="U5" s="517"/>
      <c r="V5" s="517"/>
      <c r="W5" s="517"/>
      <c r="X5" s="529"/>
      <c r="Y5" s="249"/>
      <c r="Z5" s="275"/>
      <c r="AA5" s="275"/>
      <c r="AB5" s="275"/>
      <c r="AC5" s="275"/>
      <c r="AD5" s="277"/>
      <c r="AE5" s="277"/>
      <c r="AF5" s="97"/>
      <c r="AG5" s="341" t="str">
        <f>HLOOKUP(Language!$B$2,Language!$C$12:$H$656,9)</f>
        <v>Complaint number (Customer):</v>
      </c>
      <c r="AH5" s="342"/>
      <c r="AI5" s="342"/>
      <c r="AJ5" s="342"/>
      <c r="AK5" s="343"/>
      <c r="AL5" s="519" t="str">
        <f>IF('D1-D3'!$G$5="","",'D1-D3'!$G$5)</f>
        <v/>
      </c>
      <c r="AM5" s="517"/>
      <c r="AN5" s="517"/>
      <c r="AO5" s="517"/>
      <c r="AP5" s="517"/>
      <c r="AQ5" s="518"/>
      <c r="AR5" s="485" t="str">
        <f>HLOOKUP(Language!$B$2,Language!$C$12:$H$656,14)</f>
        <v>Complaint number (Supplier):</v>
      </c>
      <c r="AS5" s="486"/>
      <c r="AT5" s="486"/>
      <c r="AU5" s="486"/>
      <c r="AV5" s="486"/>
      <c r="AW5" s="486"/>
      <c r="AX5" s="487"/>
      <c r="AY5" s="519" t="str">
        <f>IF('D1-D3'!$T$5="","",'D1-D3'!$T$5)</f>
        <v/>
      </c>
      <c r="AZ5" s="517"/>
      <c r="BA5" s="517"/>
      <c r="BB5" s="517"/>
      <c r="BC5" s="517"/>
      <c r="BD5" s="529"/>
      <c r="BE5" s="249"/>
      <c r="BF5" s="275"/>
      <c r="BG5" s="275"/>
      <c r="BH5" s="275"/>
      <c r="BI5" s="275"/>
      <c r="BJ5" s="277"/>
      <c r="BK5" s="277"/>
      <c r="BL5" s="97"/>
      <c r="BM5" s="341" t="str">
        <f>HLOOKUP(Language!$B$2,Language!$C$12:$H$656,9)</f>
        <v>Complaint number (Customer):</v>
      </c>
      <c r="BN5" s="342"/>
      <c r="BO5" s="342"/>
      <c r="BP5" s="342"/>
      <c r="BQ5" s="343"/>
      <c r="BR5" s="519" t="str">
        <f>IF('D1-D3'!$G$5="","",'D1-D3'!$G$5)</f>
        <v/>
      </c>
      <c r="BS5" s="517"/>
      <c r="BT5" s="517"/>
      <c r="BU5" s="517"/>
      <c r="BV5" s="517"/>
      <c r="BW5" s="518"/>
      <c r="BX5" s="485" t="str">
        <f>HLOOKUP(Language!$B$2,Language!$C$12:$H$656,14)</f>
        <v>Complaint number (Supplier):</v>
      </c>
      <c r="BY5" s="486"/>
      <c r="BZ5" s="486"/>
      <c r="CA5" s="486"/>
      <c r="CB5" s="486"/>
      <c r="CC5" s="486"/>
      <c r="CD5" s="487"/>
      <c r="CE5" s="519" t="str">
        <f>IF('D1-D3'!$T$5="","",'D1-D3'!$T$5)</f>
        <v/>
      </c>
      <c r="CF5" s="517"/>
      <c r="CG5" s="517"/>
      <c r="CH5" s="517"/>
      <c r="CI5" s="517"/>
      <c r="CJ5" s="529"/>
      <c r="CK5" s="249"/>
      <c r="CL5" s="275"/>
      <c r="CM5" s="275"/>
      <c r="CN5" s="275"/>
      <c r="CO5" s="275"/>
      <c r="CP5" s="277"/>
      <c r="CQ5" s="277"/>
      <c r="CR5" s="97"/>
    </row>
    <row r="6" spans="1:96" ht="12" customHeight="1" x14ac:dyDescent="0.3">
      <c r="A6" s="4"/>
      <c r="B6" s="21"/>
      <c r="C6" s="21"/>
      <c r="D6" s="21"/>
      <c r="E6" s="21"/>
      <c r="F6" s="33"/>
      <c r="G6" s="33"/>
      <c r="H6" s="33"/>
      <c r="I6" s="33"/>
      <c r="J6" s="33"/>
      <c r="K6" s="33"/>
      <c r="L6" s="6"/>
      <c r="M6" s="6"/>
      <c r="N6" s="6"/>
      <c r="O6" s="6"/>
      <c r="P6" s="6"/>
      <c r="Q6" s="6"/>
      <c r="R6" s="33"/>
      <c r="S6" s="21"/>
      <c r="T6" s="21"/>
      <c r="U6" s="21"/>
      <c r="V6" s="21"/>
      <c r="W6" s="21"/>
      <c r="X6" s="21"/>
      <c r="Y6" s="25"/>
      <c r="Z6" s="25"/>
      <c r="AA6" s="25"/>
      <c r="AB6" s="25"/>
      <c r="AC6" s="25"/>
      <c r="AD6" s="25"/>
      <c r="AE6" s="25"/>
      <c r="AF6" s="26"/>
      <c r="AG6" s="4"/>
      <c r="AH6" s="21"/>
      <c r="AI6" s="21"/>
      <c r="AJ6" s="21"/>
      <c r="AK6" s="21"/>
      <c r="AL6" s="33"/>
      <c r="AM6" s="33"/>
      <c r="AN6" s="33"/>
      <c r="AO6" s="33"/>
      <c r="AP6" s="33"/>
      <c r="AQ6" s="33"/>
      <c r="AR6" s="6"/>
      <c r="AS6" s="6"/>
      <c r="AT6" s="6"/>
      <c r="AU6" s="6"/>
      <c r="AV6" s="6"/>
      <c r="AW6" s="6"/>
      <c r="AX6" s="33"/>
      <c r="AY6" s="21"/>
      <c r="AZ6" s="21"/>
      <c r="BA6" s="21"/>
      <c r="BB6" s="21"/>
      <c r="BC6" s="21"/>
      <c r="BD6" s="21"/>
      <c r="BE6" s="25"/>
      <c r="BF6" s="25"/>
      <c r="BG6" s="25"/>
      <c r="BH6" s="25"/>
      <c r="BI6" s="25"/>
      <c r="BJ6" s="25"/>
      <c r="BK6" s="25"/>
      <c r="BL6" s="26"/>
      <c r="BM6" s="4"/>
      <c r="BN6" s="21"/>
      <c r="BO6" s="21"/>
      <c r="BP6" s="21"/>
      <c r="BQ6" s="21"/>
      <c r="BR6" s="33"/>
      <c r="BS6" s="33"/>
      <c r="BT6" s="33"/>
      <c r="BU6" s="33"/>
      <c r="BV6" s="33"/>
      <c r="BW6" s="33"/>
      <c r="BX6" s="6"/>
      <c r="BY6" s="6"/>
      <c r="BZ6" s="6"/>
      <c r="CA6" s="6"/>
      <c r="CB6" s="6"/>
      <c r="CC6" s="6"/>
      <c r="CD6" s="33"/>
      <c r="CE6" s="21"/>
      <c r="CF6" s="21"/>
      <c r="CG6" s="21"/>
      <c r="CH6" s="21"/>
      <c r="CI6" s="21"/>
      <c r="CJ6" s="21"/>
      <c r="CK6" s="25"/>
      <c r="CL6" s="25"/>
      <c r="CM6" s="25"/>
      <c r="CN6" s="25"/>
      <c r="CO6" s="25"/>
      <c r="CP6" s="25"/>
      <c r="CQ6" s="25"/>
      <c r="CR6" s="26"/>
    </row>
    <row r="7" spans="1:96" ht="12" customHeight="1" x14ac:dyDescent="0.3">
      <c r="A7" s="4"/>
      <c r="B7" s="305" t="str">
        <f>HLOOKUP(Language!$B$2,Language!$C$12:$H$656,10)</f>
        <v>Material name:</v>
      </c>
      <c r="C7" s="305"/>
      <c r="D7" s="305"/>
      <c r="E7" s="305"/>
      <c r="F7" s="305"/>
      <c r="G7" s="404" t="str">
        <f>IF('D1-D3'!$H$7="","",'D1-D3'!$H$7)</f>
        <v/>
      </c>
      <c r="H7" s="404"/>
      <c r="I7" s="404"/>
      <c r="J7" s="404"/>
      <c r="K7" s="404"/>
      <c r="L7" s="404"/>
      <c r="M7" s="404"/>
      <c r="N7" s="404"/>
      <c r="O7" s="404"/>
      <c r="P7" s="404"/>
      <c r="Q7" s="305" t="str">
        <f>HLOOKUP(Language!$B$2,Language!$C$12:$H$656,12)</f>
        <v>Drawing no.</v>
      </c>
      <c r="R7" s="305"/>
      <c r="S7" s="305"/>
      <c r="T7" s="305"/>
      <c r="U7" s="305"/>
      <c r="V7" s="404" t="str">
        <f>IF('D1-D3'!$W$7="","",'D1-D3'!$W$7)</f>
        <v/>
      </c>
      <c r="W7" s="404"/>
      <c r="X7" s="404"/>
      <c r="Y7" s="404"/>
      <c r="Z7" s="404"/>
      <c r="AA7" s="404"/>
      <c r="AB7" s="404"/>
      <c r="AC7" s="404"/>
      <c r="AD7" s="404"/>
      <c r="AE7" s="404"/>
      <c r="AF7" s="5"/>
      <c r="AG7" s="4"/>
      <c r="AH7" s="305" t="str">
        <f>HLOOKUP(Language!$B$2,Language!$C$12:$H$656,10)</f>
        <v>Material name:</v>
      </c>
      <c r="AI7" s="305"/>
      <c r="AJ7" s="305"/>
      <c r="AK7" s="305"/>
      <c r="AL7" s="305"/>
      <c r="AM7" s="404" t="str">
        <f>IF('D1-D3'!$H$7="","",'D1-D3'!$H$7)</f>
        <v/>
      </c>
      <c r="AN7" s="404"/>
      <c r="AO7" s="404"/>
      <c r="AP7" s="404"/>
      <c r="AQ7" s="404"/>
      <c r="AR7" s="404"/>
      <c r="AS7" s="404"/>
      <c r="AT7" s="404"/>
      <c r="AU7" s="404"/>
      <c r="AV7" s="404"/>
      <c r="AW7" s="305" t="str">
        <f>HLOOKUP(Language!$B$2,Language!$C$12:$H$656,12)</f>
        <v>Drawing no.</v>
      </c>
      <c r="AX7" s="305"/>
      <c r="AY7" s="305"/>
      <c r="AZ7" s="305"/>
      <c r="BA7" s="305"/>
      <c r="BB7" s="404" t="str">
        <f>IF('D1-D3'!$W$7="","",'D1-D3'!$W$7)</f>
        <v/>
      </c>
      <c r="BC7" s="404"/>
      <c r="BD7" s="404"/>
      <c r="BE7" s="404"/>
      <c r="BF7" s="404"/>
      <c r="BG7" s="404"/>
      <c r="BH7" s="404"/>
      <c r="BI7" s="404"/>
      <c r="BJ7" s="404"/>
      <c r="BK7" s="404"/>
      <c r="BL7" s="5"/>
      <c r="BM7" s="4"/>
      <c r="BN7" s="305" t="str">
        <f>HLOOKUP(Language!$B$2,Language!$C$12:$H$656,10)</f>
        <v>Material name:</v>
      </c>
      <c r="BO7" s="305"/>
      <c r="BP7" s="305"/>
      <c r="BQ7" s="305"/>
      <c r="BR7" s="305"/>
      <c r="BS7" s="395" t="str">
        <f>IF('D1-D3'!$H$7="","",'D1-D3'!$H$7)</f>
        <v/>
      </c>
      <c r="BT7" s="396"/>
      <c r="BU7" s="396"/>
      <c r="BV7" s="396"/>
      <c r="BW7" s="396"/>
      <c r="BX7" s="396"/>
      <c r="BY7" s="396"/>
      <c r="BZ7" s="396"/>
      <c r="CA7" s="396"/>
      <c r="CB7" s="397"/>
      <c r="CC7" s="305" t="str">
        <f>HLOOKUP(Language!$B$2,Language!$C$12:$H$656,12)</f>
        <v>Drawing no.</v>
      </c>
      <c r="CD7" s="305"/>
      <c r="CE7" s="305"/>
      <c r="CF7" s="305"/>
      <c r="CG7" s="305"/>
      <c r="CH7" s="395" t="str">
        <f>IF('D1-D3'!$W$7="","",'D1-D3'!$W$7)</f>
        <v/>
      </c>
      <c r="CI7" s="396"/>
      <c r="CJ7" s="396"/>
      <c r="CK7" s="396"/>
      <c r="CL7" s="396"/>
      <c r="CM7" s="396"/>
      <c r="CN7" s="396"/>
      <c r="CO7" s="396"/>
      <c r="CP7" s="396"/>
      <c r="CQ7" s="397"/>
      <c r="CR7" s="5"/>
    </row>
    <row r="8" spans="1:96" ht="12" customHeight="1" x14ac:dyDescent="0.3">
      <c r="A8" s="4"/>
      <c r="B8" s="305" t="str">
        <f>HLOOKUP(Language!$B$2,Language!$C$12:$H$656,11)</f>
        <v>Material number:</v>
      </c>
      <c r="C8" s="305"/>
      <c r="D8" s="305"/>
      <c r="E8" s="305"/>
      <c r="F8" s="305"/>
      <c r="G8" s="404" t="str">
        <f>IF('D1-D3'!$H$8="","",'D1-D3'!$H$8)</f>
        <v/>
      </c>
      <c r="H8" s="404"/>
      <c r="I8" s="404"/>
      <c r="J8" s="404"/>
      <c r="K8" s="404"/>
      <c r="L8" s="404"/>
      <c r="M8" s="404"/>
      <c r="N8" s="404"/>
      <c r="O8" s="404"/>
      <c r="P8" s="404"/>
      <c r="Q8" s="305" t="str">
        <f>HLOOKUP(Language!$B$2,Language!$C$12:$H$656,13)</f>
        <v>Drawing revision</v>
      </c>
      <c r="R8" s="305"/>
      <c r="S8" s="305"/>
      <c r="T8" s="305"/>
      <c r="U8" s="305"/>
      <c r="V8" s="404" t="str">
        <f>IF('D1-D3'!$W$8="","",'D1-D3'!$W$8)</f>
        <v/>
      </c>
      <c r="W8" s="404"/>
      <c r="X8" s="404"/>
      <c r="Y8" s="404"/>
      <c r="Z8" s="404"/>
      <c r="AA8" s="404"/>
      <c r="AB8" s="404"/>
      <c r="AC8" s="404"/>
      <c r="AD8" s="404"/>
      <c r="AE8" s="404"/>
      <c r="AF8" s="5"/>
      <c r="AG8" s="4"/>
      <c r="AH8" s="305" t="str">
        <f>HLOOKUP(Language!$B$2,Language!$C$12:$H$656,11)</f>
        <v>Material number:</v>
      </c>
      <c r="AI8" s="305"/>
      <c r="AJ8" s="305"/>
      <c r="AK8" s="305"/>
      <c r="AL8" s="305"/>
      <c r="AM8" s="404" t="str">
        <f>IF('D1-D3'!$H$8="","",'D1-D3'!$H$8)</f>
        <v/>
      </c>
      <c r="AN8" s="404"/>
      <c r="AO8" s="404"/>
      <c r="AP8" s="404"/>
      <c r="AQ8" s="404"/>
      <c r="AR8" s="404"/>
      <c r="AS8" s="404"/>
      <c r="AT8" s="404"/>
      <c r="AU8" s="404"/>
      <c r="AV8" s="404"/>
      <c r="AW8" s="305" t="str">
        <f>HLOOKUP(Language!$B$2,Language!$C$12:$H$656,13)</f>
        <v>Drawing revision</v>
      </c>
      <c r="AX8" s="305"/>
      <c r="AY8" s="305"/>
      <c r="AZ8" s="305"/>
      <c r="BA8" s="305"/>
      <c r="BB8" s="404" t="str">
        <f>IF('D1-D3'!$W$8="","",'D1-D3'!$W$8)</f>
        <v/>
      </c>
      <c r="BC8" s="404"/>
      <c r="BD8" s="404"/>
      <c r="BE8" s="404"/>
      <c r="BF8" s="404"/>
      <c r="BG8" s="404"/>
      <c r="BH8" s="404"/>
      <c r="BI8" s="404"/>
      <c r="BJ8" s="404"/>
      <c r="BK8" s="404"/>
      <c r="BL8" s="5"/>
      <c r="BM8" s="4"/>
      <c r="BN8" s="305" t="str">
        <f>HLOOKUP(Language!$B$2,Language!$C$12:$H$656,11)</f>
        <v>Material number:</v>
      </c>
      <c r="BO8" s="305"/>
      <c r="BP8" s="305"/>
      <c r="BQ8" s="305"/>
      <c r="BR8" s="305"/>
      <c r="BS8" s="395" t="str">
        <f>IF('D1-D3'!$H$8="","",'D1-D3'!$H$8)</f>
        <v/>
      </c>
      <c r="BT8" s="396"/>
      <c r="BU8" s="396"/>
      <c r="BV8" s="396"/>
      <c r="BW8" s="396"/>
      <c r="BX8" s="396"/>
      <c r="BY8" s="396"/>
      <c r="BZ8" s="396"/>
      <c r="CA8" s="396"/>
      <c r="CB8" s="397"/>
      <c r="CC8" s="305" t="str">
        <f>HLOOKUP(Language!$B$2,Language!$C$12:$H$656,13)</f>
        <v>Drawing revision</v>
      </c>
      <c r="CD8" s="305"/>
      <c r="CE8" s="305"/>
      <c r="CF8" s="305"/>
      <c r="CG8" s="305"/>
      <c r="CH8" s="395" t="str">
        <f>IF('D1-D3'!$W$8="","",'D1-D3'!$W$8)</f>
        <v/>
      </c>
      <c r="CI8" s="396"/>
      <c r="CJ8" s="396"/>
      <c r="CK8" s="396"/>
      <c r="CL8" s="396"/>
      <c r="CM8" s="396"/>
      <c r="CN8" s="396"/>
      <c r="CO8" s="396"/>
      <c r="CP8" s="396"/>
      <c r="CQ8" s="397"/>
      <c r="CR8" s="5"/>
    </row>
    <row r="9" spans="1:96" ht="12" customHeight="1" thickBot="1" x14ac:dyDescent="0.35">
      <c r="A9" s="18"/>
      <c r="B9" s="19"/>
      <c r="C9" s="19"/>
      <c r="D9" s="19"/>
      <c r="E9" s="19"/>
      <c r="F9" s="19"/>
      <c r="G9" s="19"/>
      <c r="H9" s="19"/>
      <c r="I9" s="19"/>
      <c r="J9" s="19"/>
      <c r="K9" s="19"/>
      <c r="L9" s="19"/>
      <c r="M9" s="19"/>
      <c r="N9" s="19"/>
      <c r="O9" s="19"/>
      <c r="P9" s="19"/>
      <c r="Q9" s="19"/>
      <c r="R9" s="19"/>
      <c r="S9" s="19"/>
      <c r="T9" s="19"/>
      <c r="U9" s="19"/>
      <c r="V9" s="19"/>
      <c r="W9" s="19"/>
      <c r="X9" s="19"/>
      <c r="Y9" s="27"/>
      <c r="Z9" s="28"/>
      <c r="AA9" s="28"/>
      <c r="AB9" s="28"/>
      <c r="AC9" s="28"/>
      <c r="AD9" s="28"/>
      <c r="AE9" s="28"/>
      <c r="AF9" s="29"/>
      <c r="AG9" s="18"/>
      <c r="AH9" s="19"/>
      <c r="AI9" s="19"/>
      <c r="AJ9" s="19"/>
      <c r="AK9" s="19"/>
      <c r="AL9" s="19"/>
      <c r="AM9" s="19"/>
      <c r="AN9" s="19"/>
      <c r="AO9" s="19"/>
      <c r="AP9" s="19"/>
      <c r="AQ9" s="19"/>
      <c r="AR9" s="19"/>
      <c r="AS9" s="19"/>
      <c r="AT9" s="19"/>
      <c r="AU9" s="19"/>
      <c r="AV9" s="19"/>
      <c r="AW9" s="19"/>
      <c r="AX9" s="19"/>
      <c r="AY9" s="19"/>
      <c r="AZ9" s="19"/>
      <c r="BA9" s="19"/>
      <c r="BB9" s="19"/>
      <c r="BC9" s="19"/>
      <c r="BD9" s="19"/>
      <c r="BE9" s="27"/>
      <c r="BF9" s="28"/>
      <c r="BG9" s="28"/>
      <c r="BH9" s="28"/>
      <c r="BI9" s="28"/>
      <c r="BJ9" s="28"/>
      <c r="BK9" s="28"/>
      <c r="BL9" s="29"/>
      <c r="BM9" s="18"/>
      <c r="BN9" s="19"/>
      <c r="BO9" s="19"/>
      <c r="BP9" s="19"/>
      <c r="BQ9" s="19"/>
      <c r="BR9" s="19"/>
      <c r="BS9" s="19"/>
      <c r="BT9" s="19"/>
      <c r="BU9" s="19"/>
      <c r="BV9" s="19"/>
      <c r="BW9" s="19"/>
      <c r="BX9" s="19"/>
      <c r="BY9" s="19"/>
      <c r="BZ9" s="19"/>
      <c r="CA9" s="19"/>
      <c r="CB9" s="19"/>
      <c r="CC9" s="19"/>
      <c r="CD9" s="19"/>
      <c r="CE9" s="19"/>
      <c r="CF9" s="19"/>
      <c r="CG9" s="19"/>
      <c r="CH9" s="19"/>
      <c r="CI9" s="19"/>
      <c r="CJ9" s="19"/>
      <c r="CK9" s="27"/>
      <c r="CL9" s="28"/>
      <c r="CM9" s="28"/>
      <c r="CN9" s="28"/>
      <c r="CO9" s="28"/>
      <c r="CP9" s="28"/>
      <c r="CQ9" s="28"/>
      <c r="CR9" s="29"/>
    </row>
    <row r="10" spans="1:96" ht="15" customHeight="1" thickBot="1" x14ac:dyDescent="0.35">
      <c r="A10" s="530" t="s">
        <v>199</v>
      </c>
      <c r="B10" s="478"/>
      <c r="C10" s="478"/>
      <c r="D10" s="478"/>
      <c r="E10" s="478"/>
      <c r="F10" s="478"/>
      <c r="G10" s="478"/>
      <c r="H10" s="478"/>
      <c r="I10" s="478"/>
      <c r="J10" s="478"/>
      <c r="K10" s="478"/>
      <c r="L10" s="478"/>
      <c r="M10" s="478"/>
      <c r="N10" s="478"/>
      <c r="O10" s="478"/>
      <c r="P10" s="478"/>
      <c r="Q10" s="478"/>
      <c r="R10" s="478"/>
      <c r="S10" s="478"/>
      <c r="T10" s="478"/>
      <c r="U10" s="478"/>
      <c r="V10" s="478"/>
      <c r="W10" s="478"/>
      <c r="X10" s="478"/>
      <c r="Y10" s="478"/>
      <c r="Z10" s="478"/>
      <c r="AA10" s="478"/>
      <c r="AB10" s="478"/>
      <c r="AC10" s="478"/>
      <c r="AD10" s="478"/>
      <c r="AE10" s="478"/>
      <c r="AF10" s="479"/>
      <c r="AG10" s="530" t="s">
        <v>206</v>
      </c>
      <c r="AH10" s="478"/>
      <c r="AI10" s="478"/>
      <c r="AJ10" s="478"/>
      <c r="AK10" s="478"/>
      <c r="AL10" s="478"/>
      <c r="AM10" s="478"/>
      <c r="AN10" s="478"/>
      <c r="AO10" s="478"/>
      <c r="AP10" s="478"/>
      <c r="AQ10" s="478"/>
      <c r="AR10" s="478"/>
      <c r="AS10" s="478"/>
      <c r="AT10" s="478"/>
      <c r="AU10" s="478"/>
      <c r="AV10" s="478"/>
      <c r="AW10" s="478"/>
      <c r="AX10" s="478"/>
      <c r="AY10" s="478"/>
      <c r="AZ10" s="478"/>
      <c r="BA10" s="478"/>
      <c r="BB10" s="478"/>
      <c r="BC10" s="478"/>
      <c r="BD10" s="478"/>
      <c r="BE10" s="478"/>
      <c r="BF10" s="478"/>
      <c r="BG10" s="478"/>
      <c r="BH10" s="478"/>
      <c r="BI10" s="478"/>
      <c r="BJ10" s="478"/>
      <c r="BK10" s="478"/>
      <c r="BL10" s="479"/>
      <c r="BM10" s="530" t="s">
        <v>207</v>
      </c>
      <c r="BN10" s="478"/>
      <c r="BO10" s="478"/>
      <c r="BP10" s="478"/>
      <c r="BQ10" s="478"/>
      <c r="BR10" s="478"/>
      <c r="BS10" s="478"/>
      <c r="BT10" s="478"/>
      <c r="BU10" s="478"/>
      <c r="BV10" s="478"/>
      <c r="BW10" s="478"/>
      <c r="BX10" s="478"/>
      <c r="BY10" s="478"/>
      <c r="BZ10" s="478"/>
      <c r="CA10" s="478"/>
      <c r="CB10" s="478"/>
      <c r="CC10" s="478"/>
      <c r="CD10" s="478"/>
      <c r="CE10" s="478"/>
      <c r="CF10" s="478"/>
      <c r="CG10" s="478"/>
      <c r="CH10" s="478"/>
      <c r="CI10" s="478"/>
      <c r="CJ10" s="478"/>
      <c r="CK10" s="478"/>
      <c r="CL10" s="478"/>
      <c r="CM10" s="478"/>
      <c r="CN10" s="478"/>
      <c r="CO10" s="478"/>
      <c r="CP10" s="478"/>
      <c r="CQ10" s="478"/>
      <c r="CR10" s="479"/>
    </row>
    <row r="11" spans="1:96" ht="12" customHeight="1" x14ac:dyDescent="0.3">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2"/>
      <c r="AG11" s="83"/>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84"/>
      <c r="BM11" s="83"/>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84"/>
    </row>
    <row r="12" spans="1:96" ht="12" customHeight="1" x14ac:dyDescent="0.3">
      <c r="A12" s="90"/>
      <c r="B12" s="133"/>
      <c r="C12" s="133"/>
      <c r="D12" s="133"/>
      <c r="E12" s="133"/>
      <c r="F12" s="133"/>
      <c r="G12" s="133"/>
      <c r="H12" s="133"/>
      <c r="I12" s="133"/>
      <c r="J12" s="133"/>
      <c r="K12" s="133"/>
      <c r="L12" s="133"/>
      <c r="M12" s="133"/>
      <c r="N12" s="133"/>
      <c r="O12" s="133"/>
      <c r="P12" s="132"/>
      <c r="Q12" s="132"/>
      <c r="R12" s="133"/>
      <c r="S12" s="133"/>
      <c r="T12" s="133"/>
      <c r="U12" s="133"/>
      <c r="V12" s="133"/>
      <c r="W12" s="133"/>
      <c r="X12" s="133"/>
      <c r="Y12" s="133"/>
      <c r="Z12" s="133"/>
      <c r="AA12" s="133"/>
      <c r="AB12" s="133"/>
      <c r="AC12" s="133"/>
      <c r="AD12" s="133"/>
      <c r="AE12" s="133"/>
      <c r="AF12" s="92"/>
      <c r="AG12" s="83"/>
      <c r="AH12" s="133"/>
      <c r="AI12" s="133"/>
      <c r="AJ12" s="133"/>
      <c r="AK12" s="133"/>
      <c r="AL12" s="133"/>
      <c r="AM12" s="133"/>
      <c r="AN12" s="133"/>
      <c r="AO12" s="133"/>
      <c r="AP12" s="133"/>
      <c r="AQ12" s="133"/>
      <c r="AR12" s="133"/>
      <c r="AS12" s="133"/>
      <c r="AT12" s="133"/>
      <c r="AU12" s="133"/>
      <c r="AV12" s="132"/>
      <c r="AW12" s="132"/>
      <c r="AX12" s="133"/>
      <c r="AY12" s="133"/>
      <c r="AZ12" s="133"/>
      <c r="BA12" s="133"/>
      <c r="BB12" s="133"/>
      <c r="BC12" s="133"/>
      <c r="BD12" s="133"/>
      <c r="BE12" s="133"/>
      <c r="BF12" s="133"/>
      <c r="BG12" s="133"/>
      <c r="BH12" s="133"/>
      <c r="BI12" s="133"/>
      <c r="BJ12" s="133"/>
      <c r="BK12" s="133"/>
      <c r="BL12" s="84"/>
      <c r="BM12" s="4"/>
      <c r="BN12" s="133"/>
      <c r="BO12" s="133"/>
      <c r="BP12" s="133"/>
      <c r="BQ12" s="133"/>
      <c r="BR12" s="133"/>
      <c r="BS12" s="133"/>
      <c r="BT12" s="133"/>
      <c r="BU12" s="133"/>
      <c r="BV12" s="133"/>
      <c r="BW12" s="133"/>
      <c r="BX12" s="133"/>
      <c r="BY12" s="133"/>
      <c r="BZ12" s="133"/>
      <c r="CA12" s="133"/>
      <c r="CB12" s="132"/>
      <c r="CC12" s="132"/>
      <c r="CD12" s="133"/>
      <c r="CE12" s="133"/>
      <c r="CF12" s="133"/>
      <c r="CG12" s="133"/>
      <c r="CH12" s="133"/>
      <c r="CI12" s="133"/>
      <c r="CJ12" s="133"/>
      <c r="CK12" s="133"/>
      <c r="CL12" s="133"/>
      <c r="CM12" s="133"/>
      <c r="CN12" s="133"/>
      <c r="CO12" s="133"/>
      <c r="CP12" s="133"/>
      <c r="CQ12" s="133"/>
      <c r="CR12" s="5"/>
    </row>
    <row r="13" spans="1:96" ht="12" customHeight="1" x14ac:dyDescent="0.3">
      <c r="A13" s="90"/>
      <c r="B13" s="130"/>
      <c r="C13" s="130"/>
      <c r="D13" s="130"/>
      <c r="E13" s="130"/>
      <c r="F13" s="130"/>
      <c r="G13" s="130"/>
      <c r="H13" s="130"/>
      <c r="I13" s="130"/>
      <c r="J13" s="130"/>
      <c r="K13" s="130"/>
      <c r="L13" s="130"/>
      <c r="M13" s="130"/>
      <c r="N13" s="130"/>
      <c r="O13" s="130"/>
      <c r="P13" s="132"/>
      <c r="Q13" s="132"/>
      <c r="R13" s="130"/>
      <c r="S13" s="130"/>
      <c r="T13" s="130"/>
      <c r="U13" s="130"/>
      <c r="V13" s="130"/>
      <c r="W13" s="130"/>
      <c r="X13" s="130"/>
      <c r="Y13" s="130"/>
      <c r="Z13" s="130"/>
      <c r="AA13" s="130"/>
      <c r="AB13" s="130"/>
      <c r="AC13" s="130"/>
      <c r="AD13" s="130"/>
      <c r="AE13" s="130"/>
      <c r="AF13" s="92"/>
      <c r="AG13" s="83"/>
      <c r="AH13" s="130"/>
      <c r="AI13" s="130"/>
      <c r="AJ13" s="130"/>
      <c r="AK13" s="130"/>
      <c r="AL13" s="130"/>
      <c r="AM13" s="130"/>
      <c r="AN13" s="130"/>
      <c r="AO13" s="130"/>
      <c r="AP13" s="130"/>
      <c r="AQ13" s="130"/>
      <c r="AR13" s="130"/>
      <c r="AS13" s="130"/>
      <c r="AT13" s="130"/>
      <c r="AU13" s="130"/>
      <c r="AV13" s="132"/>
      <c r="AW13" s="132"/>
      <c r="AX13" s="130"/>
      <c r="AY13" s="130"/>
      <c r="AZ13" s="130"/>
      <c r="BA13" s="130"/>
      <c r="BB13" s="130"/>
      <c r="BC13" s="130"/>
      <c r="BD13" s="130"/>
      <c r="BE13" s="130"/>
      <c r="BF13" s="130"/>
      <c r="BG13" s="130"/>
      <c r="BH13" s="130"/>
      <c r="BI13" s="130"/>
      <c r="BJ13" s="130"/>
      <c r="BK13" s="130"/>
      <c r="BL13" s="84"/>
      <c r="BM13" s="4"/>
      <c r="BN13" s="130"/>
      <c r="BO13" s="130"/>
      <c r="BP13" s="130"/>
      <c r="BQ13" s="130"/>
      <c r="BR13" s="130"/>
      <c r="BS13" s="130"/>
      <c r="BT13" s="130"/>
      <c r="BU13" s="130"/>
      <c r="BV13" s="130"/>
      <c r="BW13" s="130"/>
      <c r="BX13" s="130"/>
      <c r="BY13" s="130"/>
      <c r="BZ13" s="130"/>
      <c r="CA13" s="130"/>
      <c r="CB13" s="132"/>
      <c r="CC13" s="132"/>
      <c r="CD13" s="130"/>
      <c r="CE13" s="130"/>
      <c r="CF13" s="130"/>
      <c r="CG13" s="130"/>
      <c r="CH13" s="130"/>
      <c r="CI13" s="130"/>
      <c r="CJ13" s="130"/>
      <c r="CK13" s="130"/>
      <c r="CL13" s="130"/>
      <c r="CM13" s="130"/>
      <c r="CN13" s="130"/>
      <c r="CO13" s="130"/>
      <c r="CP13" s="130"/>
      <c r="CQ13" s="130"/>
      <c r="CR13" s="5"/>
    </row>
    <row r="14" spans="1:96" ht="12" customHeight="1" x14ac:dyDescent="0.3">
      <c r="A14" s="90"/>
      <c r="B14" s="130"/>
      <c r="C14" s="130"/>
      <c r="D14" s="130"/>
      <c r="E14" s="130"/>
      <c r="F14" s="130"/>
      <c r="G14" s="130"/>
      <c r="H14" s="130"/>
      <c r="I14" s="130"/>
      <c r="J14" s="130"/>
      <c r="K14" s="130"/>
      <c r="L14" s="130"/>
      <c r="M14" s="130"/>
      <c r="N14" s="130"/>
      <c r="O14" s="130"/>
      <c r="P14" s="132"/>
      <c r="Q14" s="132"/>
      <c r="R14" s="130"/>
      <c r="S14" s="130"/>
      <c r="T14" s="130"/>
      <c r="U14" s="130"/>
      <c r="V14" s="130"/>
      <c r="W14" s="130"/>
      <c r="X14" s="130"/>
      <c r="Y14" s="130"/>
      <c r="Z14" s="130"/>
      <c r="AA14" s="130"/>
      <c r="AB14" s="130"/>
      <c r="AC14" s="130"/>
      <c r="AD14" s="130"/>
      <c r="AE14" s="130"/>
      <c r="AF14" s="92"/>
      <c r="AG14" s="83"/>
      <c r="AH14" s="130"/>
      <c r="AI14" s="130"/>
      <c r="AJ14" s="130"/>
      <c r="AK14" s="130"/>
      <c r="AL14" s="130"/>
      <c r="AM14" s="130"/>
      <c r="AN14" s="130"/>
      <c r="AO14" s="130"/>
      <c r="AP14" s="130"/>
      <c r="AQ14" s="130"/>
      <c r="AR14" s="130"/>
      <c r="AS14" s="130"/>
      <c r="AT14" s="130"/>
      <c r="AU14" s="130"/>
      <c r="AV14" s="132"/>
      <c r="AW14" s="132"/>
      <c r="AX14" s="130"/>
      <c r="AY14" s="130"/>
      <c r="AZ14" s="130"/>
      <c r="BA14" s="130"/>
      <c r="BB14" s="130"/>
      <c r="BC14" s="130"/>
      <c r="BD14" s="130"/>
      <c r="BE14" s="130"/>
      <c r="BF14" s="130"/>
      <c r="BG14" s="130"/>
      <c r="BH14" s="130"/>
      <c r="BI14" s="130"/>
      <c r="BJ14" s="130"/>
      <c r="BK14" s="130"/>
      <c r="BL14" s="84"/>
      <c r="BM14" s="31"/>
      <c r="BN14" s="130"/>
      <c r="BO14" s="130"/>
      <c r="BP14" s="130"/>
      <c r="BQ14" s="130"/>
      <c r="BR14" s="130"/>
      <c r="BS14" s="130"/>
      <c r="BT14" s="130"/>
      <c r="BU14" s="130"/>
      <c r="BV14" s="130"/>
      <c r="BW14" s="130"/>
      <c r="BX14" s="130"/>
      <c r="BY14" s="130"/>
      <c r="BZ14" s="130"/>
      <c r="CA14" s="130"/>
      <c r="CB14" s="132"/>
      <c r="CC14" s="132"/>
      <c r="CD14" s="130"/>
      <c r="CE14" s="130"/>
      <c r="CF14" s="130"/>
      <c r="CG14" s="130"/>
      <c r="CH14" s="130"/>
      <c r="CI14" s="130"/>
      <c r="CJ14" s="130"/>
      <c r="CK14" s="130"/>
      <c r="CL14" s="130"/>
      <c r="CM14" s="130"/>
      <c r="CN14" s="130"/>
      <c r="CO14" s="130"/>
      <c r="CP14" s="130"/>
      <c r="CQ14" s="130"/>
      <c r="CR14" s="32"/>
    </row>
    <row r="15" spans="1:96" ht="12" customHeight="1" x14ac:dyDescent="0.3">
      <c r="A15" s="90"/>
      <c r="B15" s="130"/>
      <c r="C15" s="130"/>
      <c r="D15" s="130"/>
      <c r="E15" s="130"/>
      <c r="F15" s="130"/>
      <c r="G15" s="130"/>
      <c r="H15" s="130"/>
      <c r="I15" s="130"/>
      <c r="J15" s="130"/>
      <c r="K15" s="130"/>
      <c r="L15" s="130"/>
      <c r="M15" s="130"/>
      <c r="N15" s="130"/>
      <c r="O15" s="130"/>
      <c r="P15" s="132"/>
      <c r="Q15" s="132"/>
      <c r="R15" s="130"/>
      <c r="S15" s="130"/>
      <c r="T15" s="130"/>
      <c r="U15" s="130"/>
      <c r="V15" s="130"/>
      <c r="W15" s="130"/>
      <c r="X15" s="130"/>
      <c r="Y15" s="130"/>
      <c r="Z15" s="130"/>
      <c r="AA15" s="130"/>
      <c r="AB15" s="130"/>
      <c r="AC15" s="130"/>
      <c r="AD15" s="130"/>
      <c r="AE15" s="130"/>
      <c r="AF15" s="92"/>
      <c r="AG15" s="83"/>
      <c r="AH15" s="130"/>
      <c r="AI15" s="130"/>
      <c r="AJ15" s="130"/>
      <c r="AK15" s="130"/>
      <c r="AL15" s="130"/>
      <c r="AM15" s="130"/>
      <c r="AN15" s="130"/>
      <c r="AO15" s="130"/>
      <c r="AP15" s="130"/>
      <c r="AQ15" s="130"/>
      <c r="AR15" s="130"/>
      <c r="AS15" s="130"/>
      <c r="AT15" s="130"/>
      <c r="AU15" s="130"/>
      <c r="AV15" s="132"/>
      <c r="AW15" s="132"/>
      <c r="AX15" s="130"/>
      <c r="AY15" s="130"/>
      <c r="AZ15" s="130"/>
      <c r="BA15" s="130"/>
      <c r="BB15" s="130"/>
      <c r="BC15" s="130"/>
      <c r="BD15" s="130"/>
      <c r="BE15" s="130"/>
      <c r="BF15" s="130"/>
      <c r="BG15" s="130"/>
      <c r="BH15" s="130"/>
      <c r="BI15" s="130"/>
      <c r="BJ15" s="130"/>
      <c r="BK15" s="130"/>
      <c r="BL15" s="84"/>
      <c r="BM15" s="4"/>
      <c r="BN15" s="130"/>
      <c r="BO15" s="130"/>
      <c r="BP15" s="130"/>
      <c r="BQ15" s="130"/>
      <c r="BR15" s="130"/>
      <c r="BS15" s="130"/>
      <c r="BT15" s="130"/>
      <c r="BU15" s="130"/>
      <c r="BV15" s="130"/>
      <c r="BW15" s="130"/>
      <c r="BX15" s="130"/>
      <c r="BY15" s="130"/>
      <c r="BZ15" s="130"/>
      <c r="CA15" s="130"/>
      <c r="CB15" s="132"/>
      <c r="CC15" s="132"/>
      <c r="CD15" s="130"/>
      <c r="CE15" s="130"/>
      <c r="CF15" s="130"/>
      <c r="CG15" s="130"/>
      <c r="CH15" s="130"/>
      <c r="CI15" s="130"/>
      <c r="CJ15" s="130"/>
      <c r="CK15" s="130"/>
      <c r="CL15" s="130"/>
      <c r="CM15" s="130"/>
      <c r="CN15" s="130"/>
      <c r="CO15" s="130"/>
      <c r="CP15" s="130"/>
      <c r="CQ15" s="130"/>
      <c r="CR15" s="5"/>
    </row>
    <row r="16" spans="1:96" ht="12" customHeight="1" x14ac:dyDescent="0.3">
      <c r="A16" s="90"/>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92"/>
      <c r="AG16" s="83"/>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84"/>
      <c r="BM16" s="4"/>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5"/>
    </row>
    <row r="17" spans="1:96" ht="12" customHeight="1" x14ac:dyDescent="0.3">
      <c r="A17" s="90"/>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92"/>
      <c r="AG17" s="83"/>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84"/>
      <c r="BM17" s="4"/>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5"/>
    </row>
    <row r="18" spans="1:96" ht="12" customHeight="1" x14ac:dyDescent="0.3">
      <c r="A18" s="90"/>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92"/>
      <c r="AG18" s="83"/>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84"/>
      <c r="BM18" s="4"/>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5"/>
    </row>
    <row r="19" spans="1:96" ht="12" customHeight="1" x14ac:dyDescent="0.3">
      <c r="A19" s="90"/>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92"/>
      <c r="AG19" s="83"/>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84"/>
      <c r="BM19" s="4"/>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5"/>
    </row>
    <row r="20" spans="1:96" ht="12" customHeight="1" x14ac:dyDescent="0.3">
      <c r="A20" s="90"/>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92"/>
      <c r="AG20" s="83"/>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84"/>
      <c r="BM20" s="4"/>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5"/>
    </row>
    <row r="21" spans="1:96" ht="12" customHeight="1" x14ac:dyDescent="0.3">
      <c r="A21" s="90"/>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92"/>
      <c r="AG21" s="83"/>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84"/>
      <c r="BM21" s="4"/>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5"/>
    </row>
    <row r="22" spans="1:96" ht="12" customHeight="1" x14ac:dyDescent="0.3">
      <c r="A22" s="90"/>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92"/>
      <c r="AG22" s="83"/>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84"/>
      <c r="BM22" s="4"/>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5"/>
    </row>
    <row r="23" spans="1:96" ht="12" customHeight="1" x14ac:dyDescent="0.3">
      <c r="A23" s="90"/>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92"/>
      <c r="AG23" s="83"/>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84"/>
      <c r="BM23" s="4"/>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5"/>
    </row>
    <row r="24" spans="1:96" ht="12" customHeight="1" x14ac:dyDescent="0.3">
      <c r="A24" s="90"/>
      <c r="B24" s="132"/>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92"/>
      <c r="AG24" s="83"/>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84"/>
      <c r="BM24" s="39"/>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49"/>
    </row>
    <row r="25" spans="1:96" ht="12" customHeight="1" x14ac:dyDescent="0.3">
      <c r="A25" s="90"/>
      <c r="B25" s="132"/>
      <c r="C25" s="132"/>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92"/>
      <c r="AG25" s="83"/>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84"/>
      <c r="BM25" s="39"/>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49"/>
    </row>
    <row r="26" spans="1:96" ht="12" customHeight="1" x14ac:dyDescent="0.3">
      <c r="A26" s="90"/>
      <c r="B26" s="132"/>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92"/>
      <c r="AG26" s="83"/>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84"/>
      <c r="BM26" s="50"/>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51"/>
    </row>
    <row r="27" spans="1:96" ht="12" customHeight="1" x14ac:dyDescent="0.3">
      <c r="A27" s="90"/>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92"/>
      <c r="AG27" s="83"/>
      <c r="AH27" s="129"/>
      <c r="AI27" s="129"/>
      <c r="AJ27" s="129"/>
      <c r="AK27" s="129"/>
      <c r="AL27" s="129"/>
      <c r="AM27" s="129"/>
      <c r="AN27" s="129"/>
      <c r="AO27" s="142"/>
      <c r="AP27" s="142"/>
      <c r="AQ27" s="142"/>
      <c r="AR27" s="142"/>
      <c r="AS27" s="142"/>
      <c r="AT27" s="142"/>
      <c r="AU27" s="142"/>
      <c r="AV27" s="142"/>
      <c r="AW27" s="142"/>
      <c r="AX27" s="142"/>
      <c r="AY27" s="142"/>
      <c r="AZ27" s="142"/>
      <c r="BA27" s="142"/>
      <c r="BB27" s="129"/>
      <c r="BC27" s="129"/>
      <c r="BD27" s="129"/>
      <c r="BE27" s="129"/>
      <c r="BF27" s="129"/>
      <c r="BG27" s="129"/>
      <c r="BH27" s="129"/>
      <c r="BI27" s="129"/>
      <c r="BJ27" s="129"/>
      <c r="BK27" s="129"/>
      <c r="BL27" s="84"/>
      <c r="BM27" s="39"/>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49"/>
    </row>
    <row r="28" spans="1:96" ht="12" customHeight="1" x14ac:dyDescent="0.3">
      <c r="A28" s="90"/>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92"/>
      <c r="AG28" s="83"/>
      <c r="AH28" s="129"/>
      <c r="AI28" s="129"/>
      <c r="AJ28" s="129"/>
      <c r="AK28" s="129"/>
      <c r="AL28" s="129"/>
      <c r="AM28" s="129"/>
      <c r="AN28" s="129"/>
      <c r="AO28" s="142"/>
      <c r="AP28" s="142"/>
      <c r="AQ28" s="142"/>
      <c r="AR28" s="142"/>
      <c r="AS28" s="142"/>
      <c r="AT28" s="142"/>
      <c r="AU28" s="142"/>
      <c r="AV28" s="142"/>
      <c r="AW28" s="142"/>
      <c r="AX28" s="142"/>
      <c r="AY28" s="142"/>
      <c r="AZ28" s="142"/>
      <c r="BA28" s="142"/>
      <c r="BB28" s="129"/>
      <c r="BC28" s="129"/>
      <c r="BD28" s="129"/>
      <c r="BE28" s="129"/>
      <c r="BF28" s="129"/>
      <c r="BG28" s="129"/>
      <c r="BH28" s="129"/>
      <c r="BI28" s="129"/>
      <c r="BJ28" s="129"/>
      <c r="BK28" s="129"/>
      <c r="BL28" s="84"/>
      <c r="BM28" s="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32"/>
    </row>
    <row r="29" spans="1:96" ht="12" customHeight="1" x14ac:dyDescent="0.3">
      <c r="A29" s="90"/>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92"/>
      <c r="AG29" s="83"/>
      <c r="AH29" s="129"/>
      <c r="AI29" s="129"/>
      <c r="AJ29" s="129"/>
      <c r="AK29" s="129"/>
      <c r="AL29" s="129"/>
      <c r="AM29" s="129"/>
      <c r="AN29" s="129"/>
      <c r="AO29" s="142"/>
      <c r="AP29" s="142"/>
      <c r="AQ29" s="142"/>
      <c r="AR29" s="142"/>
      <c r="AS29" s="142"/>
      <c r="AT29" s="142"/>
      <c r="AU29" s="142"/>
      <c r="AV29" s="142"/>
      <c r="AW29" s="142"/>
      <c r="AX29" s="142"/>
      <c r="AY29" s="142"/>
      <c r="AZ29" s="142"/>
      <c r="BA29" s="142"/>
      <c r="BB29" s="129"/>
      <c r="BC29" s="129"/>
      <c r="BD29" s="129"/>
      <c r="BE29" s="129"/>
      <c r="BF29" s="129"/>
      <c r="BG29" s="129"/>
      <c r="BH29" s="129"/>
      <c r="BI29" s="129"/>
      <c r="BJ29" s="129"/>
      <c r="BK29" s="129"/>
      <c r="BL29" s="84"/>
      <c r="BM29" s="55"/>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57"/>
    </row>
    <row r="30" spans="1:96" ht="12" customHeight="1" x14ac:dyDescent="0.3">
      <c r="A30" s="90"/>
      <c r="B30" s="132"/>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92"/>
      <c r="AG30" s="83"/>
      <c r="AH30" s="129"/>
      <c r="AI30" s="129"/>
      <c r="AJ30" s="129"/>
      <c r="AK30" s="129"/>
      <c r="AL30" s="129"/>
      <c r="AM30" s="129"/>
      <c r="AN30" s="129"/>
      <c r="AO30" s="142"/>
      <c r="AP30" s="142"/>
      <c r="AQ30" s="142"/>
      <c r="AR30" s="142"/>
      <c r="AS30" s="142"/>
      <c r="AT30" s="142"/>
      <c r="AU30" s="142"/>
      <c r="AV30" s="142"/>
      <c r="AW30" s="142"/>
      <c r="AX30" s="142"/>
      <c r="AY30" s="142"/>
      <c r="AZ30" s="142"/>
      <c r="BA30" s="142"/>
      <c r="BB30" s="129"/>
      <c r="BC30" s="129"/>
      <c r="BD30" s="129"/>
      <c r="BE30" s="129"/>
      <c r="BF30" s="129"/>
      <c r="BG30" s="129"/>
      <c r="BH30" s="129"/>
      <c r="BI30" s="129"/>
      <c r="BJ30" s="129"/>
      <c r="BK30" s="129"/>
      <c r="BL30" s="84"/>
      <c r="BM30" s="55"/>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57"/>
    </row>
    <row r="31" spans="1:96" ht="12" customHeight="1" x14ac:dyDescent="0.3">
      <c r="A31" s="90"/>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92"/>
      <c r="AG31" s="83"/>
      <c r="AH31" s="129"/>
      <c r="AI31" s="129"/>
      <c r="AJ31" s="129"/>
      <c r="AK31" s="129"/>
      <c r="AL31" s="129"/>
      <c r="AM31" s="129"/>
      <c r="AN31" s="129"/>
      <c r="AO31" s="142"/>
      <c r="AP31" s="142"/>
      <c r="AQ31" s="142"/>
      <c r="AR31" s="142"/>
      <c r="AS31" s="142"/>
      <c r="AT31" s="142"/>
      <c r="AU31" s="142"/>
      <c r="AV31" s="142"/>
      <c r="AW31" s="142"/>
      <c r="AX31" s="142"/>
      <c r="AY31" s="142"/>
      <c r="AZ31" s="142"/>
      <c r="BA31" s="142"/>
      <c r="BB31" s="129"/>
      <c r="BC31" s="129"/>
      <c r="BD31" s="129"/>
      <c r="BE31" s="129"/>
      <c r="BF31" s="129"/>
      <c r="BG31" s="129"/>
      <c r="BH31" s="129"/>
      <c r="BI31" s="129"/>
      <c r="BJ31" s="129"/>
      <c r="BK31" s="129"/>
      <c r="BL31" s="84"/>
      <c r="BM31" s="55"/>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57"/>
    </row>
    <row r="32" spans="1:96" ht="12" customHeight="1" x14ac:dyDescent="0.3">
      <c r="A32" s="90"/>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92"/>
      <c r="AG32" s="83"/>
      <c r="AH32" s="129"/>
      <c r="AI32" s="129"/>
      <c r="AJ32" s="129"/>
      <c r="AK32" s="129"/>
      <c r="AL32" s="129"/>
      <c r="AM32" s="129"/>
      <c r="AN32" s="129"/>
      <c r="AO32" s="142"/>
      <c r="AP32" s="142"/>
      <c r="AQ32" s="142"/>
      <c r="AR32" s="142"/>
      <c r="AS32" s="142"/>
      <c r="AT32" s="142"/>
      <c r="AU32" s="142"/>
      <c r="AV32" s="142"/>
      <c r="AW32" s="142"/>
      <c r="AX32" s="142"/>
      <c r="AY32" s="142"/>
      <c r="AZ32" s="142"/>
      <c r="BA32" s="142"/>
      <c r="BB32" s="129"/>
      <c r="BC32" s="129"/>
      <c r="BD32" s="129"/>
      <c r="BE32" s="129"/>
      <c r="BF32" s="129"/>
      <c r="BG32" s="129"/>
      <c r="BH32" s="129"/>
      <c r="BI32" s="129"/>
      <c r="BJ32" s="129"/>
      <c r="BK32" s="129"/>
      <c r="BL32" s="84"/>
      <c r="BM32" s="55"/>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57"/>
    </row>
    <row r="33" spans="1:96" ht="12" customHeight="1" x14ac:dyDescent="0.3">
      <c r="A33" s="90"/>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92"/>
      <c r="AG33" s="83"/>
      <c r="AH33" s="129"/>
      <c r="AI33" s="129"/>
      <c r="AJ33" s="129"/>
      <c r="AK33" s="129"/>
      <c r="AL33" s="129"/>
      <c r="AM33" s="129"/>
      <c r="AN33" s="129"/>
      <c r="AO33" s="142"/>
      <c r="AP33" s="142"/>
      <c r="AQ33" s="142"/>
      <c r="AR33" s="142"/>
      <c r="AS33" s="142"/>
      <c r="AT33" s="142"/>
      <c r="AU33" s="142"/>
      <c r="AV33" s="142"/>
      <c r="AW33" s="142"/>
      <c r="AX33" s="142"/>
      <c r="AY33" s="142"/>
      <c r="AZ33" s="142"/>
      <c r="BA33" s="142"/>
      <c r="BB33" s="129"/>
      <c r="BC33" s="129"/>
      <c r="BD33" s="129"/>
      <c r="BE33" s="129"/>
      <c r="BF33" s="129"/>
      <c r="BG33" s="129"/>
      <c r="BH33" s="129"/>
      <c r="BI33" s="129"/>
      <c r="BJ33" s="129"/>
      <c r="BK33" s="129"/>
      <c r="BL33" s="84"/>
      <c r="BM33" s="55"/>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57"/>
    </row>
    <row r="34" spans="1:96" ht="12" customHeight="1" x14ac:dyDescent="0.3">
      <c r="A34" s="90"/>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92"/>
      <c r="AG34" s="83"/>
      <c r="AH34" s="129"/>
      <c r="AI34" s="129"/>
      <c r="AJ34" s="129"/>
      <c r="AK34" s="129"/>
      <c r="AL34" s="129"/>
      <c r="AM34" s="129"/>
      <c r="AN34" s="129"/>
      <c r="AO34" s="142"/>
      <c r="AP34" s="142"/>
      <c r="AQ34" s="142"/>
      <c r="AR34" s="142"/>
      <c r="AS34" s="142"/>
      <c r="AT34" s="142"/>
      <c r="AU34" s="142"/>
      <c r="AV34" s="142"/>
      <c r="AW34" s="142"/>
      <c r="AX34" s="142"/>
      <c r="AY34" s="142"/>
      <c r="AZ34" s="142"/>
      <c r="BA34" s="142"/>
      <c r="BB34" s="129"/>
      <c r="BC34" s="129"/>
      <c r="BD34" s="129"/>
      <c r="BE34" s="129"/>
      <c r="BF34" s="129"/>
      <c r="BG34" s="129"/>
      <c r="BH34" s="129"/>
      <c r="BI34" s="129"/>
      <c r="BJ34" s="129"/>
      <c r="BK34" s="129"/>
      <c r="BL34" s="84"/>
      <c r="BM34" s="55"/>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57"/>
    </row>
    <row r="35" spans="1:96" ht="12" customHeight="1" x14ac:dyDescent="0.3">
      <c r="A35" s="90"/>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92"/>
      <c r="AG35" s="83"/>
      <c r="AH35" s="129"/>
      <c r="AI35" s="129"/>
      <c r="AJ35" s="129"/>
      <c r="AK35" s="129"/>
      <c r="AL35" s="129"/>
      <c r="AM35" s="129"/>
      <c r="AN35" s="129"/>
      <c r="AO35" s="142"/>
      <c r="AP35" s="142"/>
      <c r="AQ35" s="142"/>
      <c r="AR35" s="142"/>
      <c r="AS35" s="142"/>
      <c r="AT35" s="142"/>
      <c r="AU35" s="142"/>
      <c r="AV35" s="142"/>
      <c r="AW35" s="142"/>
      <c r="AX35" s="142"/>
      <c r="AY35" s="142"/>
      <c r="AZ35" s="142"/>
      <c r="BA35" s="142"/>
      <c r="BB35" s="129"/>
      <c r="BC35" s="129"/>
      <c r="BD35" s="129"/>
      <c r="BE35" s="129"/>
      <c r="BF35" s="129"/>
      <c r="BG35" s="129"/>
      <c r="BH35" s="129"/>
      <c r="BI35" s="129"/>
      <c r="BJ35" s="129"/>
      <c r="BK35" s="129"/>
      <c r="BL35" s="84"/>
      <c r="BM35" s="55"/>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57"/>
    </row>
    <row r="36" spans="1:96" ht="12" customHeight="1" x14ac:dyDescent="0.3">
      <c r="A36" s="90"/>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92"/>
      <c r="AG36" s="83"/>
      <c r="AH36" s="129"/>
      <c r="AI36" s="129"/>
      <c r="AJ36" s="129"/>
      <c r="AK36" s="129"/>
      <c r="AL36" s="129"/>
      <c r="AM36" s="129"/>
      <c r="AN36" s="129"/>
      <c r="AO36" s="142"/>
      <c r="AP36" s="142"/>
      <c r="AQ36" s="142"/>
      <c r="AR36" s="142"/>
      <c r="AS36" s="142"/>
      <c r="AT36" s="142"/>
      <c r="AU36" s="142"/>
      <c r="AV36" s="142"/>
      <c r="AW36" s="142"/>
      <c r="AX36" s="142"/>
      <c r="AY36" s="142"/>
      <c r="AZ36" s="142"/>
      <c r="BA36" s="142"/>
      <c r="BB36" s="129"/>
      <c r="BC36" s="129"/>
      <c r="BD36" s="129"/>
      <c r="BE36" s="129"/>
      <c r="BF36" s="129"/>
      <c r="BG36" s="129"/>
      <c r="BH36" s="129"/>
      <c r="BI36" s="129"/>
      <c r="BJ36" s="129"/>
      <c r="BK36" s="129"/>
      <c r="BL36" s="84"/>
      <c r="BM36" s="55"/>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57"/>
    </row>
    <row r="37" spans="1:96" ht="12" customHeight="1" x14ac:dyDescent="0.3">
      <c r="A37" s="90"/>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92"/>
      <c r="AG37" s="83"/>
      <c r="AH37" s="129"/>
      <c r="AI37" s="129"/>
      <c r="AJ37" s="129"/>
      <c r="AK37" s="129"/>
      <c r="AL37" s="129"/>
      <c r="AM37" s="129"/>
      <c r="AN37" s="129"/>
      <c r="AO37" s="142"/>
      <c r="AP37" s="142"/>
      <c r="AQ37" s="142"/>
      <c r="AR37" s="142"/>
      <c r="AS37" s="142"/>
      <c r="AT37" s="142"/>
      <c r="AU37" s="142"/>
      <c r="AV37" s="142"/>
      <c r="AW37" s="142"/>
      <c r="AX37" s="142"/>
      <c r="AY37" s="142"/>
      <c r="AZ37" s="142"/>
      <c r="BA37" s="142"/>
      <c r="BB37" s="129"/>
      <c r="BC37" s="129"/>
      <c r="BD37" s="129"/>
      <c r="BE37" s="129"/>
      <c r="BF37" s="129"/>
      <c r="BG37" s="129"/>
      <c r="BH37" s="129"/>
      <c r="BI37" s="129"/>
      <c r="BJ37" s="129"/>
      <c r="BK37" s="129"/>
      <c r="BL37" s="84"/>
      <c r="BM37" s="55"/>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57"/>
    </row>
    <row r="38" spans="1:96" ht="12" customHeight="1" x14ac:dyDescent="0.3">
      <c r="A38" s="90"/>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92"/>
      <c r="AG38" s="83"/>
      <c r="AH38" s="129"/>
      <c r="AI38" s="129"/>
      <c r="AJ38" s="129"/>
      <c r="AK38" s="129"/>
      <c r="AL38" s="129"/>
      <c r="AM38" s="129"/>
      <c r="AN38" s="129"/>
      <c r="AO38" s="142"/>
      <c r="AP38" s="142"/>
      <c r="AQ38" s="142"/>
      <c r="AR38" s="142"/>
      <c r="AS38" s="142"/>
      <c r="AT38" s="142"/>
      <c r="AU38" s="142"/>
      <c r="AV38" s="142"/>
      <c r="AW38" s="142"/>
      <c r="AX38" s="142"/>
      <c r="AY38" s="142"/>
      <c r="AZ38" s="142"/>
      <c r="BA38" s="142"/>
      <c r="BB38" s="129"/>
      <c r="BC38" s="129"/>
      <c r="BD38" s="129"/>
      <c r="BE38" s="129"/>
      <c r="BF38" s="129"/>
      <c r="BG38" s="129"/>
      <c r="BH38" s="129"/>
      <c r="BI38" s="129"/>
      <c r="BJ38" s="129"/>
      <c r="BK38" s="129"/>
      <c r="BL38" s="84"/>
      <c r="BM38" s="55"/>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57"/>
    </row>
    <row r="39" spans="1:96" ht="12" customHeight="1" x14ac:dyDescent="0.3">
      <c r="A39" s="90"/>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92"/>
      <c r="AG39" s="83"/>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84"/>
      <c r="BM39" s="55"/>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57"/>
    </row>
    <row r="40" spans="1:96" ht="12" customHeight="1" x14ac:dyDescent="0.3">
      <c r="A40" s="90"/>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92"/>
      <c r="AG40" s="83"/>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84"/>
      <c r="BM40" s="39"/>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49"/>
    </row>
    <row r="41" spans="1:96" ht="12" customHeight="1" x14ac:dyDescent="0.3">
      <c r="A41" s="90"/>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92"/>
      <c r="AG41" s="83"/>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84"/>
      <c r="BM41" s="39"/>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49"/>
    </row>
    <row r="42" spans="1:96" ht="12" customHeight="1" x14ac:dyDescent="0.3">
      <c r="A42" s="90"/>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92"/>
      <c r="AG42" s="83"/>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84"/>
      <c r="BM42" s="39"/>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49"/>
    </row>
    <row r="43" spans="1:96" ht="12" customHeight="1" x14ac:dyDescent="0.3">
      <c r="A43" s="90"/>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92"/>
      <c r="AG43" s="83"/>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84"/>
      <c r="BM43" s="4"/>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5"/>
    </row>
    <row r="44" spans="1:96" ht="12" customHeight="1" x14ac:dyDescent="0.3">
      <c r="A44" s="90"/>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92"/>
      <c r="AG44" s="83"/>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84"/>
      <c r="BM44" s="4"/>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5"/>
    </row>
    <row r="45" spans="1:96" ht="12" customHeight="1" x14ac:dyDescent="0.3">
      <c r="A45" s="90"/>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92"/>
      <c r="AG45" s="83"/>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84"/>
      <c r="BM45" s="4"/>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5"/>
    </row>
    <row r="46" spans="1:96" ht="12" customHeight="1" x14ac:dyDescent="0.3">
      <c r="A46" s="90"/>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92"/>
      <c r="AG46" s="83"/>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84"/>
      <c r="BM46" s="4"/>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5"/>
    </row>
    <row r="47" spans="1:96" ht="12" customHeight="1" x14ac:dyDescent="0.3">
      <c r="A47" s="90"/>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92"/>
      <c r="AG47" s="83"/>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84"/>
      <c r="BM47" s="4"/>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5"/>
    </row>
    <row r="48" spans="1:96" ht="12" customHeight="1" x14ac:dyDescent="0.3">
      <c r="A48" s="90"/>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92"/>
      <c r="AG48" s="83"/>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84"/>
      <c r="BM48" s="4"/>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5"/>
    </row>
    <row r="49" spans="1:96" ht="12" customHeight="1" x14ac:dyDescent="0.3">
      <c r="A49" s="90"/>
      <c r="B49" s="132"/>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92"/>
      <c r="AG49" s="83"/>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84"/>
      <c r="BM49" s="4"/>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5"/>
    </row>
    <row r="50" spans="1:96" ht="12" customHeight="1" x14ac:dyDescent="0.3">
      <c r="A50" s="90"/>
      <c r="B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92"/>
      <c r="AG50" s="83"/>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84"/>
      <c r="BM50" s="4"/>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5"/>
    </row>
    <row r="51" spans="1:96" ht="12" customHeight="1" x14ac:dyDescent="0.3">
      <c r="A51" s="90"/>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92"/>
      <c r="AG51" s="83"/>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84"/>
      <c r="BM51" s="4"/>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5"/>
    </row>
    <row r="52" spans="1:96" ht="12" customHeight="1" x14ac:dyDescent="0.3">
      <c r="A52" s="90"/>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92"/>
      <c r="AG52" s="83"/>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84"/>
      <c r="BM52" s="4"/>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5"/>
    </row>
    <row r="53" spans="1:96" ht="12" customHeight="1" x14ac:dyDescent="0.3">
      <c r="A53" s="90"/>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92"/>
      <c r="AG53" s="83"/>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84"/>
      <c r="BM53" s="4"/>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5"/>
    </row>
    <row r="54" spans="1:96" ht="12" customHeight="1" x14ac:dyDescent="0.3">
      <c r="A54" s="90"/>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92"/>
      <c r="AG54" s="83"/>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84"/>
      <c r="BM54" s="4"/>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5"/>
    </row>
    <row r="55" spans="1:96" ht="12" customHeight="1" x14ac:dyDescent="0.3">
      <c r="A55" s="90"/>
      <c r="B55" s="132"/>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92"/>
      <c r="AG55" s="83"/>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84"/>
      <c r="BM55" s="4"/>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5"/>
    </row>
    <row r="56" spans="1:96" ht="12" customHeight="1" x14ac:dyDescent="0.3">
      <c r="A56" s="90"/>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92"/>
      <c r="AG56" s="83"/>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84"/>
      <c r="BM56" s="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32"/>
    </row>
    <row r="57" spans="1:96" ht="12" customHeight="1" x14ac:dyDescent="0.3">
      <c r="A57" s="90"/>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92"/>
      <c r="AG57" s="83"/>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84"/>
      <c r="BM57" s="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32"/>
    </row>
    <row r="58" spans="1:96" ht="12" customHeight="1" x14ac:dyDescent="0.3">
      <c r="A58" s="90"/>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92"/>
      <c r="AG58" s="83"/>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84"/>
      <c r="BM58" s="4"/>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5"/>
    </row>
    <row r="59" spans="1:96" ht="12" customHeight="1" x14ac:dyDescent="0.3">
      <c r="A59" s="90"/>
      <c r="B59" s="13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92"/>
      <c r="AG59" s="83"/>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84"/>
      <c r="BM59" s="4"/>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131"/>
      <c r="CQ59" s="131"/>
      <c r="CR59" s="5"/>
    </row>
    <row r="60" spans="1:96" ht="12" customHeight="1" x14ac:dyDescent="0.3">
      <c r="A60" s="90"/>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92"/>
      <c r="AG60" s="83"/>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84"/>
      <c r="BM60" s="4"/>
      <c r="BN60" s="131"/>
      <c r="BO60" s="131"/>
      <c r="BP60" s="131"/>
      <c r="BQ60" s="131"/>
      <c r="BR60" s="131"/>
      <c r="BS60" s="131"/>
      <c r="BT60" s="131"/>
      <c r="BU60" s="131"/>
      <c r="BV60" s="131"/>
      <c r="BW60" s="131"/>
      <c r="BX60" s="131"/>
      <c r="BY60" s="131"/>
      <c r="BZ60" s="131"/>
      <c r="CA60" s="131"/>
      <c r="CB60" s="131"/>
      <c r="CC60" s="131"/>
      <c r="CD60" s="131"/>
      <c r="CE60" s="131"/>
      <c r="CF60" s="131"/>
      <c r="CG60" s="131"/>
      <c r="CH60" s="131"/>
      <c r="CI60" s="131"/>
      <c r="CJ60" s="131"/>
      <c r="CK60" s="131"/>
      <c r="CL60" s="131"/>
      <c r="CM60" s="131"/>
      <c r="CN60" s="131"/>
      <c r="CO60" s="131"/>
      <c r="CP60" s="131"/>
      <c r="CQ60" s="131"/>
      <c r="CR60" s="5"/>
    </row>
    <row r="61" spans="1:96" ht="12" customHeight="1" x14ac:dyDescent="0.3">
      <c r="A61" s="90"/>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92"/>
      <c r="AG61" s="83"/>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84"/>
      <c r="BM61" s="4"/>
      <c r="BN61" s="131"/>
      <c r="BO61" s="131"/>
      <c r="BP61" s="131"/>
      <c r="BQ61" s="131"/>
      <c r="BR61" s="131"/>
      <c r="BS61" s="131"/>
      <c r="BT61" s="131"/>
      <c r="BU61" s="131"/>
      <c r="BV61" s="131"/>
      <c r="BW61" s="131"/>
      <c r="BX61" s="131"/>
      <c r="BY61" s="131"/>
      <c r="BZ61" s="131"/>
      <c r="CA61" s="131"/>
      <c r="CB61" s="131"/>
      <c r="CC61" s="131"/>
      <c r="CD61" s="131"/>
      <c r="CE61" s="131"/>
      <c r="CF61" s="131"/>
      <c r="CG61" s="131"/>
      <c r="CH61" s="131"/>
      <c r="CI61" s="131"/>
      <c r="CJ61" s="131"/>
      <c r="CK61" s="131"/>
      <c r="CL61" s="131"/>
      <c r="CM61" s="131"/>
      <c r="CN61" s="131"/>
      <c r="CO61" s="131"/>
      <c r="CP61" s="131"/>
      <c r="CQ61" s="131"/>
      <c r="CR61" s="5"/>
    </row>
    <row r="62" spans="1:96" ht="12" customHeight="1" x14ac:dyDescent="0.3">
      <c r="A62" s="90"/>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92"/>
      <c r="AG62" s="83"/>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84"/>
      <c r="BM62" s="4"/>
      <c r="BN62" s="131"/>
      <c r="BO62" s="131"/>
      <c r="BP62" s="131"/>
      <c r="BQ62" s="131"/>
      <c r="BR62" s="131"/>
      <c r="BS62" s="131"/>
      <c r="BT62" s="131"/>
      <c r="BU62" s="131"/>
      <c r="BV62" s="131"/>
      <c r="BW62" s="131"/>
      <c r="BX62" s="131"/>
      <c r="BY62" s="131"/>
      <c r="BZ62" s="131"/>
      <c r="CA62" s="131"/>
      <c r="CB62" s="131"/>
      <c r="CC62" s="131"/>
      <c r="CD62" s="131"/>
      <c r="CE62" s="131"/>
      <c r="CF62" s="131"/>
      <c r="CG62" s="131"/>
      <c r="CH62" s="131"/>
      <c r="CI62" s="131"/>
      <c r="CJ62" s="131"/>
      <c r="CK62" s="131"/>
      <c r="CL62" s="131"/>
      <c r="CM62" s="131"/>
      <c r="CN62" s="131"/>
      <c r="CO62" s="131"/>
      <c r="CP62" s="131"/>
      <c r="CQ62" s="131"/>
      <c r="CR62" s="5"/>
    </row>
    <row r="63" spans="1:96" ht="12" customHeight="1" x14ac:dyDescent="0.3">
      <c r="A63" s="90"/>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92"/>
      <c r="AG63" s="83"/>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84"/>
      <c r="BM63" s="4"/>
      <c r="BN63" s="131"/>
      <c r="BO63" s="131"/>
      <c r="BP63" s="131"/>
      <c r="BQ63" s="131"/>
      <c r="BR63" s="131"/>
      <c r="BS63" s="131"/>
      <c r="BT63" s="131"/>
      <c r="BU63" s="131"/>
      <c r="BV63" s="131"/>
      <c r="BW63" s="131"/>
      <c r="BX63" s="131"/>
      <c r="BY63" s="131"/>
      <c r="BZ63" s="131"/>
      <c r="CA63" s="131"/>
      <c r="CB63" s="131"/>
      <c r="CC63" s="131"/>
      <c r="CD63" s="131"/>
      <c r="CE63" s="131"/>
      <c r="CF63" s="131"/>
      <c r="CG63" s="131"/>
      <c r="CH63" s="131"/>
      <c r="CI63" s="131"/>
      <c r="CJ63" s="131"/>
      <c r="CK63" s="131"/>
      <c r="CL63" s="131"/>
      <c r="CM63" s="131"/>
      <c r="CN63" s="131"/>
      <c r="CO63" s="131"/>
      <c r="CP63" s="131"/>
      <c r="CQ63" s="131"/>
      <c r="CR63" s="5"/>
    </row>
    <row r="64" spans="1:96" ht="12" customHeight="1" x14ac:dyDescent="0.3">
      <c r="A64" s="90"/>
      <c r="B64" s="132"/>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92"/>
      <c r="AG64" s="83"/>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84"/>
      <c r="BM64" s="4"/>
      <c r="BN64" s="131"/>
      <c r="BO64" s="131"/>
      <c r="BP64" s="131"/>
      <c r="BQ64" s="131"/>
      <c r="BR64" s="131"/>
      <c r="BS64" s="131"/>
      <c r="BT64" s="131"/>
      <c r="BU64" s="131"/>
      <c r="BV64" s="131"/>
      <c r="BW64" s="131"/>
      <c r="BX64" s="131"/>
      <c r="BY64" s="131"/>
      <c r="BZ64" s="131"/>
      <c r="CA64" s="131"/>
      <c r="CB64" s="131"/>
      <c r="CC64" s="131"/>
      <c r="CD64" s="131"/>
      <c r="CE64" s="131"/>
      <c r="CF64" s="131"/>
      <c r="CG64" s="131"/>
      <c r="CH64" s="131"/>
      <c r="CI64" s="131"/>
      <c r="CJ64" s="131"/>
      <c r="CK64" s="131"/>
      <c r="CL64" s="131"/>
      <c r="CM64" s="131"/>
      <c r="CN64" s="131"/>
      <c r="CO64" s="131"/>
      <c r="CP64" s="131"/>
      <c r="CQ64" s="131"/>
      <c r="CR64" s="5"/>
    </row>
    <row r="65" spans="1:96" ht="12" customHeight="1" x14ac:dyDescent="0.3">
      <c r="A65" s="90"/>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92"/>
      <c r="AG65" s="83"/>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84"/>
      <c r="BM65" s="4"/>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131"/>
      <c r="CN65" s="131"/>
      <c r="CO65" s="131"/>
      <c r="CP65" s="131"/>
      <c r="CQ65" s="131"/>
      <c r="CR65" s="5"/>
    </row>
    <row r="66" spans="1:96" ht="12" customHeight="1" x14ac:dyDescent="0.3">
      <c r="A66" s="90"/>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92"/>
      <c r="AG66" s="83"/>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84"/>
      <c r="BM66" s="4"/>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5"/>
    </row>
    <row r="67" spans="1:96" ht="12" customHeight="1" x14ac:dyDescent="0.3">
      <c r="A67" s="90"/>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92"/>
      <c r="AG67" s="83"/>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84"/>
      <c r="BM67" s="4"/>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5"/>
    </row>
    <row r="68" spans="1:96" ht="12" customHeight="1" x14ac:dyDescent="0.3">
      <c r="A68" s="90"/>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92"/>
      <c r="AG68" s="83"/>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84"/>
      <c r="BM68" s="4"/>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c r="CJ68" s="131"/>
      <c r="CK68" s="131"/>
      <c r="CL68" s="131"/>
      <c r="CM68" s="131"/>
      <c r="CN68" s="131"/>
      <c r="CO68" s="131"/>
      <c r="CP68" s="131"/>
      <c r="CQ68" s="131"/>
      <c r="CR68" s="5"/>
    </row>
    <row r="69" spans="1:96" ht="12" customHeight="1" x14ac:dyDescent="0.3">
      <c r="A69" s="90"/>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92"/>
      <c r="AG69" s="83"/>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84"/>
      <c r="BM69" s="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32"/>
    </row>
    <row r="70" spans="1:96" ht="12" customHeight="1" x14ac:dyDescent="0.3">
      <c r="A70" s="90"/>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92"/>
      <c r="AG70" s="83"/>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84"/>
      <c r="BM70" s="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32"/>
    </row>
    <row r="71" spans="1:96" ht="12" customHeight="1" thickBot="1" x14ac:dyDescent="0.35">
      <c r="A71" s="93"/>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5"/>
      <c r="AG71" s="96"/>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97"/>
      <c r="BM71" s="8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88"/>
    </row>
  </sheetData>
  <sheetProtection algorithmName="SHA-512" hashValue="JECTf7XS507BWN4mzOn0u89ir5w8uYKRNhF/lJIKpW9GHTEr8wHjUjSLRUZxn6unhtZ4JSjstEs4/VCXsLpbyw==" saltValue="ePNk3Atxq2JzTqcQnsucgQ==" spinCount="100000" sheet="1" scenarios="1" formatCells="0" selectLockedCells="1"/>
  <mergeCells count="75">
    <mergeCell ref="CK1:CR3"/>
    <mergeCell ref="CL4:CO5"/>
    <mergeCell ref="CP4:CQ5"/>
    <mergeCell ref="BM1:CJ2"/>
    <mergeCell ref="BM3:BQ3"/>
    <mergeCell ref="BM4:BQ4"/>
    <mergeCell ref="CE4:CJ4"/>
    <mergeCell ref="BX4:CD4"/>
    <mergeCell ref="BR4:BW4"/>
    <mergeCell ref="BR3:CD3"/>
    <mergeCell ref="CH3:CJ3"/>
    <mergeCell ref="CE3:CG3"/>
    <mergeCell ref="A10:AF10"/>
    <mergeCell ref="AG10:BL10"/>
    <mergeCell ref="BM10:CR10"/>
    <mergeCell ref="BN8:BR8"/>
    <mergeCell ref="BS8:CB8"/>
    <mergeCell ref="CC8:CG8"/>
    <mergeCell ref="CH8:CQ8"/>
    <mergeCell ref="B8:F8"/>
    <mergeCell ref="G8:P8"/>
    <mergeCell ref="Q8:U8"/>
    <mergeCell ref="V8:AE8"/>
    <mergeCell ref="AH8:AL8"/>
    <mergeCell ref="AM8:AV8"/>
    <mergeCell ref="AW8:BA8"/>
    <mergeCell ref="BB8:BK8"/>
    <mergeCell ref="AM7:AV7"/>
    <mergeCell ref="AW7:BA7"/>
    <mergeCell ref="BB7:BK7"/>
    <mergeCell ref="B7:F7"/>
    <mergeCell ref="G7:P7"/>
    <mergeCell ref="Q7:U7"/>
    <mergeCell ref="V7:AE7"/>
    <mergeCell ref="AH7:AL7"/>
    <mergeCell ref="BN7:BR7"/>
    <mergeCell ref="BR5:BW5"/>
    <mergeCell ref="BS7:CB7"/>
    <mergeCell ref="BX5:CD5"/>
    <mergeCell ref="CC7:CG7"/>
    <mergeCell ref="CE5:CJ5"/>
    <mergeCell ref="BM5:BQ5"/>
    <mergeCell ref="CH7:CQ7"/>
    <mergeCell ref="S5:X5"/>
    <mergeCell ref="L4:R4"/>
    <mergeCell ref="S4:X4"/>
    <mergeCell ref="AG4:AK4"/>
    <mergeCell ref="AL4:AQ4"/>
    <mergeCell ref="AL5:AQ5"/>
    <mergeCell ref="AG5:AK5"/>
    <mergeCell ref="Z4:AC5"/>
    <mergeCell ref="AD4:AE5"/>
    <mergeCell ref="A4:E4"/>
    <mergeCell ref="F4:K4"/>
    <mergeCell ref="A5:E5"/>
    <mergeCell ref="F5:K5"/>
    <mergeCell ref="L5:R5"/>
    <mergeCell ref="A1:X2"/>
    <mergeCell ref="AG1:BD2"/>
    <mergeCell ref="A3:E3"/>
    <mergeCell ref="F3:R3"/>
    <mergeCell ref="AG3:AK3"/>
    <mergeCell ref="S3:U3"/>
    <mergeCell ref="V3:X3"/>
    <mergeCell ref="AY3:BA3"/>
    <mergeCell ref="BB3:BD3"/>
    <mergeCell ref="AL3:AX3"/>
    <mergeCell ref="Y1:AF3"/>
    <mergeCell ref="BE1:BL3"/>
    <mergeCell ref="BF4:BI5"/>
    <mergeCell ref="BJ4:BK5"/>
    <mergeCell ref="AR4:AX4"/>
    <mergeCell ref="AY4:BD4"/>
    <mergeCell ref="AR5:AX5"/>
    <mergeCell ref="AY5:BD5"/>
  </mergeCells>
  <conditionalFormatting sqref="F3:R3 V3:X3 AL3:AX3 BB3:BD3 BR3:CD3 CH3:CJ3 F4:K4 AL4:AQ4 BR4:BW4">
    <cfRule type="cellIs" dxfId="40" priority="1" operator="equal">
      <formula>""</formula>
    </cfRule>
  </conditionalFormatting>
  <conditionalFormatting sqref="G7:P8 V7:AE8">
    <cfRule type="cellIs" dxfId="39" priority="35" operator="equal">
      <formula>""</formula>
    </cfRule>
  </conditionalFormatting>
  <conditionalFormatting sqref="S4:X5 F5">
    <cfRule type="cellIs" dxfId="38" priority="36" operator="equal">
      <formula>""</formula>
    </cfRule>
  </conditionalFormatting>
  <conditionalFormatting sqref="AM7:AV8 BB7:BK8">
    <cfRule type="cellIs" dxfId="37" priority="33" operator="equal">
      <formula>""</formula>
    </cfRule>
  </conditionalFormatting>
  <conditionalFormatting sqref="AY4:BD5 AL5">
    <cfRule type="cellIs" dxfId="36" priority="34" operator="equal">
      <formula>""</formula>
    </cfRule>
  </conditionalFormatting>
  <conditionalFormatting sqref="BS7:CB8 CH7:CQ8">
    <cfRule type="cellIs" dxfId="35" priority="27" operator="equal">
      <formula>""</formula>
    </cfRule>
  </conditionalFormatting>
  <conditionalFormatting sqref="CE4:CJ5 BR5">
    <cfRule type="cellIs" dxfId="34" priority="28" operator="equal">
      <formula>""</formula>
    </cfRule>
  </conditionalFormatting>
  <dataValidations count="1">
    <dataValidation type="list" allowBlank="1" showInputMessage="1" showErrorMessage="1" sqref="AC9:AE9 BI9:BK9 CO9:CQ9" xr:uid="{74ACAF5E-8532-4786-B557-CBF61692F360}">
      <formula1>#REF!</formula1>
    </dataValidation>
  </dataValidations>
  <pageMargins left="0.31496062992125984" right="0.31496062992125984" top="0.31496062992125984" bottom="0.31496062992125984" header="0" footer="0"/>
  <pageSetup paperSize="9" scale="90" fitToWidth="0" fitToHeight="0"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107C-F55A-46B4-9DA6-867E3F371D0A}">
  <sheetPr codeName="Tabelle8">
    <tabColor theme="4" tint="0.59999389629810485"/>
  </sheetPr>
  <dimension ref="B1:BT87"/>
  <sheetViews>
    <sheetView showGridLines="0" zoomScale="70" zoomScaleNormal="70" zoomScaleSheetLayoutView="130" workbookViewId="0">
      <selection activeCell="C20" sqref="C20:H21"/>
    </sheetView>
  </sheetViews>
  <sheetFormatPr baseColWidth="10" defaultColWidth="10.88671875" defaultRowHeight="14.4" x14ac:dyDescent="0.3"/>
  <cols>
    <col min="2" max="6" width="3.33203125" customWidth="1"/>
    <col min="7" max="61" width="3.33203125" style="7" customWidth="1"/>
    <col min="72" max="72" width="11.5546875" style="72"/>
  </cols>
  <sheetData>
    <row r="1" spans="2:72" ht="12" customHeight="1" x14ac:dyDescent="0.3">
      <c r="B1" s="520" t="str">
        <f>HLOOKUP(Language!$B$2,Language!$C$12:$H$656,6)</f>
        <v>ELS:840 01 04
EOT:4 1021 03-02T
PEL:100 02 03</v>
      </c>
      <c r="C1" s="521"/>
      <c r="D1" s="521"/>
      <c r="E1" s="521"/>
      <c r="F1" s="521"/>
      <c r="G1" s="521" t="str">
        <f>'D1-D3'!AE4</f>
        <v>Rev.07</v>
      </c>
      <c r="H1" s="521"/>
      <c r="I1" s="521"/>
      <c r="J1" s="521"/>
      <c r="K1" s="526"/>
      <c r="L1" s="333" t="s">
        <v>129</v>
      </c>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268" t="e" vm="1">
        <v>#VALUE!</v>
      </c>
      <c r="AZ1" s="269"/>
      <c r="BA1" s="269"/>
      <c r="BB1" s="269"/>
      <c r="BC1" s="269"/>
      <c r="BD1" s="269"/>
      <c r="BE1" s="269"/>
      <c r="BF1" s="269"/>
      <c r="BG1" s="269"/>
      <c r="BH1" s="270"/>
      <c r="BI1" s="8"/>
    </row>
    <row r="2" spans="2:72" ht="12" customHeight="1" x14ac:dyDescent="0.3">
      <c r="B2" s="522"/>
      <c r="C2" s="523"/>
      <c r="D2" s="523"/>
      <c r="E2" s="523"/>
      <c r="F2" s="523"/>
      <c r="G2" s="523"/>
      <c r="H2" s="523"/>
      <c r="I2" s="523"/>
      <c r="J2" s="523"/>
      <c r="K2" s="527"/>
      <c r="L2" s="335"/>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336"/>
      <c r="AQ2" s="336"/>
      <c r="AR2" s="336"/>
      <c r="AS2" s="336"/>
      <c r="AT2" s="336"/>
      <c r="AU2" s="336"/>
      <c r="AV2" s="336"/>
      <c r="AW2" s="336"/>
      <c r="AX2" s="336"/>
      <c r="AY2" s="271"/>
      <c r="AZ2" s="272"/>
      <c r="BA2" s="272"/>
      <c r="BB2" s="272"/>
      <c r="BC2" s="272"/>
      <c r="BD2" s="272"/>
      <c r="BE2" s="272"/>
      <c r="BF2" s="272"/>
      <c r="BG2" s="272"/>
      <c r="BH2" s="273"/>
      <c r="BI2" s="8"/>
      <c r="BK2" s="188"/>
      <c r="BL2" s="188"/>
    </row>
    <row r="3" spans="2:72" ht="12" customHeight="1" x14ac:dyDescent="0.3">
      <c r="B3" s="522"/>
      <c r="C3" s="523"/>
      <c r="D3" s="523"/>
      <c r="E3" s="523"/>
      <c r="F3" s="523"/>
      <c r="G3" s="523"/>
      <c r="H3" s="523"/>
      <c r="I3" s="523"/>
      <c r="J3" s="523"/>
      <c r="K3" s="527"/>
      <c r="L3" s="340" t="str">
        <f>HLOOKUP(Language!$B$2,Language!$C$12:$H$656,8)</f>
        <v>Contact Person (Customer):</v>
      </c>
      <c r="M3" s="311"/>
      <c r="N3" s="311"/>
      <c r="O3" s="311"/>
      <c r="P3" s="311"/>
      <c r="Q3" s="311"/>
      <c r="R3" s="311"/>
      <c r="S3" s="312"/>
      <c r="T3" s="311" t="str">
        <f>IF('D1-D3'!$G$3="","",'D1-D3'!$G$3)</f>
        <v/>
      </c>
      <c r="U3" s="311"/>
      <c r="V3" s="311"/>
      <c r="W3" s="311"/>
      <c r="X3" s="311"/>
      <c r="Y3" s="311"/>
      <c r="Z3" s="311"/>
      <c r="AA3" s="311"/>
      <c r="AB3" s="311"/>
      <c r="AC3" s="311"/>
      <c r="AD3" s="311"/>
      <c r="AE3" s="311"/>
      <c r="AF3" s="311"/>
      <c r="AG3" s="311"/>
      <c r="AH3" s="311"/>
      <c r="AI3" s="311"/>
      <c r="AJ3" s="311"/>
      <c r="AK3" s="311"/>
      <c r="AL3" s="311"/>
      <c r="AM3" s="395" t="str">
        <f>HLOOKUP(Language!$B$2,Language!$C$12:$H$656,5)</f>
        <v>8D started on:</v>
      </c>
      <c r="AN3" s="396"/>
      <c r="AO3" s="396"/>
      <c r="AP3" s="396"/>
      <c r="AQ3" s="396"/>
      <c r="AR3" s="477" t="str">
        <f>IF('D1-D3'!$W$3="","",'D1-D3'!$W$3)</f>
        <v/>
      </c>
      <c r="AS3" s="411"/>
      <c r="AT3" s="411"/>
      <c r="AU3" s="411"/>
      <c r="AV3" s="411"/>
      <c r="AW3" s="411"/>
      <c r="AX3" s="412"/>
      <c r="AY3" s="271"/>
      <c r="AZ3" s="272"/>
      <c r="BA3" s="272"/>
      <c r="BB3" s="272"/>
      <c r="BC3" s="272"/>
      <c r="BD3" s="272"/>
      <c r="BE3" s="272"/>
      <c r="BF3" s="272"/>
      <c r="BG3" s="272"/>
      <c r="BH3" s="273"/>
      <c r="BI3" s="8"/>
      <c r="BK3" s="188"/>
      <c r="BL3" s="188"/>
    </row>
    <row r="4" spans="2:72" ht="12" customHeight="1" x14ac:dyDescent="0.3">
      <c r="B4" s="522"/>
      <c r="C4" s="523"/>
      <c r="D4" s="523"/>
      <c r="E4" s="523"/>
      <c r="F4" s="523"/>
      <c r="G4" s="523"/>
      <c r="H4" s="523"/>
      <c r="I4" s="523"/>
      <c r="J4" s="523"/>
      <c r="K4" s="527"/>
      <c r="L4" s="340" t="str">
        <f>HLOOKUP(Language!$B$2,Language!$C$12:$H$656,7)</f>
        <v>Customer:</v>
      </c>
      <c r="M4" s="311"/>
      <c r="N4" s="311"/>
      <c r="O4" s="311"/>
      <c r="P4" s="311"/>
      <c r="Q4" s="311"/>
      <c r="R4" s="311"/>
      <c r="S4" s="312"/>
      <c r="T4" s="395" t="str">
        <f>IF('D1-D3'!$G$4="","",'D1-D3'!$G$4)</f>
        <v/>
      </c>
      <c r="U4" s="396"/>
      <c r="V4" s="396"/>
      <c r="W4" s="396"/>
      <c r="X4" s="396"/>
      <c r="Y4" s="396"/>
      <c r="Z4" s="396"/>
      <c r="AA4" s="396"/>
      <c r="AB4" s="396"/>
      <c r="AC4" s="397"/>
      <c r="AD4" s="310" t="str">
        <f>HLOOKUP(Language!$B$2,Language!$C$12:$H$656,15)</f>
        <v>Supplier:</v>
      </c>
      <c r="AE4" s="311"/>
      <c r="AF4" s="311"/>
      <c r="AG4" s="311"/>
      <c r="AH4" s="311"/>
      <c r="AI4" s="311"/>
      <c r="AJ4" s="311"/>
      <c r="AK4" s="311"/>
      <c r="AL4" s="312"/>
      <c r="AM4" s="395" t="str">
        <f>IF('D1-D3'!$T$4="","",'D1-D3'!$T$4)</f>
        <v/>
      </c>
      <c r="AN4" s="396"/>
      <c r="AO4" s="396"/>
      <c r="AP4" s="396"/>
      <c r="AQ4" s="396"/>
      <c r="AR4" s="396"/>
      <c r="AS4" s="396"/>
      <c r="AT4" s="396"/>
      <c r="AU4" s="396"/>
      <c r="AV4" s="396"/>
      <c r="AW4" s="396"/>
      <c r="AX4" s="396"/>
      <c r="AY4" s="271"/>
      <c r="AZ4" s="272"/>
      <c r="BA4" s="272"/>
      <c r="BB4" s="272"/>
      <c r="BC4" s="272"/>
      <c r="BD4" s="272"/>
      <c r="BE4" s="272"/>
      <c r="BF4" s="272"/>
      <c r="BG4" s="272"/>
      <c r="BH4" s="273"/>
      <c r="BI4" s="8"/>
      <c r="BT4" s="89"/>
    </row>
    <row r="5" spans="2:72" ht="12" customHeight="1" thickBot="1" x14ac:dyDescent="0.35">
      <c r="B5" s="524"/>
      <c r="C5" s="525"/>
      <c r="D5" s="525"/>
      <c r="E5" s="525"/>
      <c r="F5" s="525"/>
      <c r="G5" s="525"/>
      <c r="H5" s="525"/>
      <c r="I5" s="525"/>
      <c r="J5" s="525"/>
      <c r="K5" s="528"/>
      <c r="L5" s="516" t="str">
        <f>HLOOKUP(Language!$B$2,Language!$C$12:$H$656,9)</f>
        <v>Complaint number (Customer):</v>
      </c>
      <c r="M5" s="517"/>
      <c r="N5" s="517"/>
      <c r="O5" s="517"/>
      <c r="P5" s="517"/>
      <c r="Q5" s="517"/>
      <c r="R5" s="517"/>
      <c r="S5" s="518"/>
      <c r="T5" s="405" t="str">
        <f>IF('D1-D3'!$G$5="","",'D1-D3'!$G$5)</f>
        <v/>
      </c>
      <c r="U5" s="406"/>
      <c r="V5" s="406"/>
      <c r="W5" s="406"/>
      <c r="X5" s="406"/>
      <c r="Y5" s="406"/>
      <c r="Z5" s="406"/>
      <c r="AA5" s="406"/>
      <c r="AB5" s="406"/>
      <c r="AC5" s="416"/>
      <c r="AD5" s="485" t="str">
        <f>HLOOKUP(Language!$B$2,Language!$C$12:$H$656,14)</f>
        <v>Complaint number (Supplier):</v>
      </c>
      <c r="AE5" s="486"/>
      <c r="AF5" s="486"/>
      <c r="AG5" s="486"/>
      <c r="AH5" s="486"/>
      <c r="AI5" s="486"/>
      <c r="AJ5" s="486"/>
      <c r="AK5" s="486"/>
      <c r="AL5" s="487"/>
      <c r="AM5" s="405" t="str">
        <f>IF('D1-D3'!$T$5="","",'D1-D3'!$T$5)</f>
        <v/>
      </c>
      <c r="AN5" s="406"/>
      <c r="AO5" s="406"/>
      <c r="AP5" s="406"/>
      <c r="AQ5" s="406"/>
      <c r="AR5" s="406"/>
      <c r="AS5" s="406"/>
      <c r="AT5" s="406"/>
      <c r="AU5" s="406"/>
      <c r="AV5" s="406"/>
      <c r="AW5" s="406"/>
      <c r="AX5" s="406"/>
      <c r="AY5" s="531"/>
      <c r="AZ5" s="320"/>
      <c r="BA5" s="320"/>
      <c r="BB5" s="320"/>
      <c r="BC5" s="320"/>
      <c r="BD5" s="320"/>
      <c r="BE5" s="320"/>
      <c r="BF5" s="320"/>
      <c r="BG5" s="320"/>
      <c r="BH5" s="532"/>
      <c r="BI5" s="25"/>
    </row>
    <row r="6" spans="2:72" ht="12" customHeight="1" x14ac:dyDescent="0.3">
      <c r="B6" s="252"/>
      <c r="C6" s="253"/>
      <c r="D6" s="253"/>
      <c r="E6" s="253"/>
      <c r="F6" s="254"/>
      <c r="G6" s="4"/>
      <c r="H6" s="21"/>
      <c r="I6" s="21"/>
      <c r="J6" s="21"/>
      <c r="K6" s="21"/>
      <c r="L6" s="21"/>
      <c r="M6" s="21"/>
      <c r="N6" s="21"/>
      <c r="O6" s="33"/>
      <c r="P6" s="33"/>
      <c r="Q6" s="33"/>
      <c r="R6" s="33"/>
      <c r="S6" s="33"/>
      <c r="T6" s="33"/>
      <c r="U6" s="33"/>
      <c r="V6" s="33"/>
      <c r="W6" s="33"/>
      <c r="X6" s="33"/>
      <c r="Y6" s="6"/>
      <c r="Z6" s="6"/>
      <c r="AA6" s="6"/>
      <c r="AB6" s="6"/>
      <c r="AC6" s="6"/>
      <c r="AD6" s="6"/>
      <c r="AE6" s="6"/>
      <c r="AF6" s="6"/>
      <c r="AG6" s="33"/>
      <c r="AH6" s="21"/>
      <c r="AI6" s="21"/>
      <c r="AJ6" s="21"/>
      <c r="AK6" s="21"/>
      <c r="AL6" s="21"/>
      <c r="AM6" s="21"/>
      <c r="AN6" s="21"/>
      <c r="AO6" s="21"/>
      <c r="AP6" s="21"/>
      <c r="AQ6" s="21"/>
      <c r="AR6" s="21"/>
      <c r="AS6" s="21"/>
      <c r="AT6" s="25"/>
      <c r="AU6" s="25"/>
      <c r="AV6" s="25"/>
      <c r="AW6" s="25"/>
      <c r="AX6" s="25"/>
      <c r="AY6" s="25"/>
      <c r="AZ6" s="25"/>
      <c r="BA6" s="25"/>
      <c r="BB6" s="25"/>
      <c r="BC6" s="26"/>
      <c r="BD6" s="260"/>
      <c r="BE6" s="261"/>
      <c r="BF6" s="261"/>
      <c r="BG6" s="261"/>
      <c r="BH6" s="262"/>
      <c r="BI6" s="25"/>
    </row>
    <row r="7" spans="2:72" ht="12" customHeight="1" x14ac:dyDescent="0.3">
      <c r="B7" s="252"/>
      <c r="C7" s="253"/>
      <c r="D7" s="253"/>
      <c r="E7" s="253"/>
      <c r="F7" s="254"/>
      <c r="G7" s="4"/>
      <c r="H7" s="305" t="str">
        <f>HLOOKUP(Language!$B$2,Language!$C$12:$H$656,10)</f>
        <v>Material name:</v>
      </c>
      <c r="I7" s="305"/>
      <c r="J7" s="305"/>
      <c r="K7" s="305"/>
      <c r="L7" s="305"/>
      <c r="M7" s="305"/>
      <c r="N7" s="305"/>
      <c r="O7" s="305"/>
      <c r="P7" s="404" t="str">
        <f>IF('D1-D3'!$H$7="","",'D1-D3'!$H$7)</f>
        <v/>
      </c>
      <c r="Q7" s="404"/>
      <c r="R7" s="404"/>
      <c r="S7" s="404"/>
      <c r="T7" s="404"/>
      <c r="U7" s="404"/>
      <c r="V7" s="404"/>
      <c r="W7" s="404"/>
      <c r="X7" s="404"/>
      <c r="Y7" s="404"/>
      <c r="Z7" s="404"/>
      <c r="AA7" s="404"/>
      <c r="AB7" s="404"/>
      <c r="AC7" s="404"/>
      <c r="AD7" s="305" t="str">
        <f>HLOOKUP(Language!$B$2,Language!$C$12:$H$656,12)</f>
        <v>Drawing no.</v>
      </c>
      <c r="AE7" s="305"/>
      <c r="AF7" s="305"/>
      <c r="AG7" s="305"/>
      <c r="AH7" s="305"/>
      <c r="AI7" s="305"/>
      <c r="AJ7" s="305"/>
      <c r="AK7" s="305"/>
      <c r="AL7" s="404" t="str">
        <f>IF('D1-D3'!$W$7="","",'D1-D3'!$W$7)</f>
        <v/>
      </c>
      <c r="AM7" s="404"/>
      <c r="AN7" s="404"/>
      <c r="AO7" s="404"/>
      <c r="AP7" s="404"/>
      <c r="AQ7" s="404"/>
      <c r="AR7" s="404"/>
      <c r="AS7" s="404"/>
      <c r="AT7" s="404"/>
      <c r="AU7" s="404"/>
      <c r="AV7" s="404"/>
      <c r="AW7" s="404"/>
      <c r="AX7" s="404"/>
      <c r="AY7" s="404"/>
      <c r="AZ7" s="404"/>
      <c r="BA7" s="404"/>
      <c r="BB7" s="404"/>
      <c r="BC7" s="5"/>
      <c r="BD7" s="260"/>
      <c r="BE7" s="261"/>
      <c r="BF7" s="261"/>
      <c r="BG7" s="261"/>
      <c r="BH7" s="262"/>
      <c r="BI7" s="6"/>
    </row>
    <row r="8" spans="2:72" ht="12" customHeight="1" x14ac:dyDescent="0.3">
      <c r="B8" s="252"/>
      <c r="C8" s="253"/>
      <c r="D8" s="253"/>
      <c r="E8" s="253"/>
      <c r="F8" s="254"/>
      <c r="G8" s="4"/>
      <c r="H8" s="305" t="str">
        <f>HLOOKUP(Language!$B$2,Language!$C$12:$H$656,11)</f>
        <v>Material number:</v>
      </c>
      <c r="I8" s="305"/>
      <c r="J8" s="305"/>
      <c r="K8" s="305"/>
      <c r="L8" s="305"/>
      <c r="M8" s="305"/>
      <c r="N8" s="305"/>
      <c r="O8" s="305"/>
      <c r="P8" s="404" t="str">
        <f>IF('D1-D3'!$H$8="","",'D1-D3'!$H$8)</f>
        <v/>
      </c>
      <c r="Q8" s="404"/>
      <c r="R8" s="404"/>
      <c r="S8" s="404"/>
      <c r="T8" s="404"/>
      <c r="U8" s="404"/>
      <c r="V8" s="404"/>
      <c r="W8" s="404"/>
      <c r="X8" s="404"/>
      <c r="Y8" s="404"/>
      <c r="Z8" s="404"/>
      <c r="AA8" s="404"/>
      <c r="AB8" s="404"/>
      <c r="AC8" s="404"/>
      <c r="AD8" s="305" t="str">
        <f>HLOOKUP(Language!$B$2,Language!$C$12:$H$656,13)</f>
        <v>Drawing revision</v>
      </c>
      <c r="AE8" s="305"/>
      <c r="AF8" s="305"/>
      <c r="AG8" s="305"/>
      <c r="AH8" s="305"/>
      <c r="AI8" s="305"/>
      <c r="AJ8" s="305"/>
      <c r="AK8" s="305"/>
      <c r="AL8" s="404" t="str">
        <f>IF('D1-D3'!$W$8="","",'D1-D3'!$W$8)</f>
        <v/>
      </c>
      <c r="AM8" s="404"/>
      <c r="AN8" s="404"/>
      <c r="AO8" s="404"/>
      <c r="AP8" s="404"/>
      <c r="AQ8" s="404"/>
      <c r="AR8" s="404"/>
      <c r="AS8" s="404"/>
      <c r="AT8" s="404"/>
      <c r="AU8" s="404"/>
      <c r="AV8" s="404"/>
      <c r="AW8" s="404"/>
      <c r="AX8" s="404"/>
      <c r="AY8" s="404"/>
      <c r="AZ8" s="404"/>
      <c r="BA8" s="404"/>
      <c r="BB8" s="404"/>
      <c r="BC8" s="5"/>
      <c r="BD8" s="260"/>
      <c r="BE8" s="261"/>
      <c r="BF8" s="261"/>
      <c r="BG8" s="261"/>
      <c r="BH8" s="262"/>
      <c r="BI8" s="6"/>
    </row>
    <row r="9" spans="2:72" ht="12" customHeight="1" thickBot="1" x14ac:dyDescent="0.35">
      <c r="B9" s="121"/>
      <c r="C9" s="255"/>
      <c r="D9" s="255"/>
      <c r="E9" s="255"/>
      <c r="F9" s="256"/>
      <c r="G9" s="18"/>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27"/>
      <c r="AU9" s="28"/>
      <c r="AV9" s="28"/>
      <c r="AW9" s="28"/>
      <c r="AX9" s="28"/>
      <c r="AY9" s="28"/>
      <c r="AZ9" s="28"/>
      <c r="BA9" s="28"/>
      <c r="BB9" s="28"/>
      <c r="BC9" s="29"/>
      <c r="BD9" s="263"/>
      <c r="BE9" s="98"/>
      <c r="BF9" s="98"/>
      <c r="BG9" s="98"/>
      <c r="BH9" s="99"/>
      <c r="BI9" s="102"/>
    </row>
    <row r="10" spans="2:72" ht="3" customHeight="1" x14ac:dyDescent="0.3">
      <c r="B10" s="113"/>
      <c r="C10" s="122"/>
      <c r="D10" s="122"/>
      <c r="E10" s="122"/>
      <c r="F10" s="122"/>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2"/>
      <c r="BI10" s="23"/>
    </row>
    <row r="11" spans="2:72" ht="18" customHeight="1" x14ac:dyDescent="0.3">
      <c r="B11" s="553" t="str">
        <f>HLOOKUP(Language!$B$2,Language!$C$12:$H$656,157)</f>
        <v>Step 1</v>
      </c>
      <c r="C11" s="542"/>
      <c r="D11" s="542"/>
      <c r="E11" s="542"/>
      <c r="F11" s="542"/>
      <c r="G11" s="554" t="str">
        <f>HLOOKUP(Language!$B$2,Language!$C$12:$H$656,160)</f>
        <v>Team identifies possible technical causes based on experience, FMEA, process records, etc.</v>
      </c>
      <c r="H11" s="554"/>
      <c r="I11" s="554"/>
      <c r="J11" s="554"/>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4"/>
      <c r="AK11" s="554"/>
      <c r="AL11" s="554"/>
      <c r="AM11" s="554"/>
      <c r="AN11" s="554"/>
      <c r="AO11" s="554"/>
      <c r="AP11" s="554"/>
      <c r="AQ11" s="554"/>
      <c r="AR11" s="554"/>
      <c r="AS11" s="554"/>
      <c r="AT11" s="554"/>
      <c r="AU11" s="554"/>
      <c r="AV11" s="554"/>
      <c r="AW11" s="554"/>
      <c r="AX11" s="554"/>
      <c r="AY11" s="554"/>
      <c r="AZ11" s="554"/>
      <c r="BA11" s="554"/>
      <c r="BB11" s="554"/>
      <c r="BC11" s="554"/>
      <c r="BD11" s="554"/>
      <c r="BE11" s="554"/>
      <c r="BF11" s="554"/>
      <c r="BG11" s="554"/>
      <c r="BH11" s="555"/>
      <c r="BI11" s="23"/>
    </row>
    <row r="12" spans="2:72" ht="18" customHeight="1" x14ac:dyDescent="0.3">
      <c r="B12" s="553" t="str">
        <f>HLOOKUP(Language!$B$2,Language!$C$12:$H$656,158)</f>
        <v>Step 2</v>
      </c>
      <c r="C12" s="542"/>
      <c r="D12" s="542"/>
      <c r="E12" s="542"/>
      <c r="F12" s="542"/>
      <c r="G12" s="554" t="str">
        <f>HLOOKUP(Language!$B$2,Language!$C$12:$H$656,161)</f>
        <v>Team decides which causes are most likely (mark the decision with the given symbols).</v>
      </c>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c r="AU12" s="554"/>
      <c r="AV12" s="554"/>
      <c r="AW12" s="554"/>
      <c r="AX12" s="554"/>
      <c r="AY12" s="554"/>
      <c r="AZ12" s="554"/>
      <c r="BA12" s="554"/>
      <c r="BB12" s="554"/>
      <c r="BC12" s="554"/>
      <c r="BD12" s="554"/>
      <c r="BE12" s="554"/>
      <c r="BF12" s="554"/>
      <c r="BG12" s="554"/>
      <c r="BH12" s="555"/>
      <c r="BI12" s="23"/>
    </row>
    <row r="13" spans="2:72" ht="18" customHeight="1" x14ac:dyDescent="0.3">
      <c r="B13" s="553" t="str">
        <f>HLOOKUP(Language!$B$2,Language!$C$12:$H$656,159)</f>
        <v>Step 3</v>
      </c>
      <c r="C13" s="542"/>
      <c r="D13" s="542"/>
      <c r="E13" s="542"/>
      <c r="F13" s="542"/>
      <c r="G13" s="554" t="str">
        <f>HLOOKUP(Language!$B$2,Language!$C$12:$H$656,162)</f>
        <v>Test each most likely rootcause against the problem and verify by make the problem come and go.</v>
      </c>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c r="AU13" s="554"/>
      <c r="AV13" s="554"/>
      <c r="AW13" s="554"/>
      <c r="AX13" s="554"/>
      <c r="AY13" s="554"/>
      <c r="AZ13" s="554"/>
      <c r="BA13" s="554"/>
      <c r="BB13" s="554"/>
      <c r="BC13" s="554"/>
      <c r="BD13" s="554"/>
      <c r="BE13" s="554"/>
      <c r="BF13" s="554"/>
      <c r="BG13" s="554"/>
      <c r="BH13" s="555"/>
      <c r="BI13" s="23"/>
      <c r="BJ13" s="126"/>
      <c r="BK13" s="126"/>
      <c r="BL13" s="126"/>
    </row>
    <row r="14" spans="2:72" ht="3" customHeight="1" thickBot="1" x14ac:dyDescent="0.35">
      <c r="B14" s="108"/>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s="123"/>
      <c r="BI14" s="23"/>
      <c r="BJ14" s="542" t="str">
        <f>HLOOKUP(Language!$B$2,Language!$C$12:$H$656,171)</f>
        <v>Evaluation modules</v>
      </c>
      <c r="BK14" s="542"/>
      <c r="BL14" s="542"/>
    </row>
    <row r="15" spans="2:72" ht="12" customHeight="1" thickBot="1" x14ac:dyDescent="0.35">
      <c r="B15" s="120"/>
      <c r="C15" s="583" t="str">
        <f>HLOOKUP(Language!$B$2,Language!$C$12:$H$656,163)</f>
        <v>Why has the error occurred?</v>
      </c>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116"/>
      <c r="AB15" s="116"/>
      <c r="AC15" s="116"/>
      <c r="AD15" s="116"/>
      <c r="AE15" s="116"/>
      <c r="AF15" s="116"/>
      <c r="AG15" s="583" t="str">
        <f>HLOOKUP(Language!$B$2,Language!$C$12:$H$656,164)</f>
        <v>Why was the error not found?</v>
      </c>
      <c r="AH15" s="583"/>
      <c r="AI15" s="583"/>
      <c r="AJ15" s="583"/>
      <c r="AK15" s="583"/>
      <c r="AL15" s="583"/>
      <c r="AM15" s="583"/>
      <c r="AN15" s="583"/>
      <c r="AO15" s="583"/>
      <c r="AP15" s="583"/>
      <c r="AQ15" s="583"/>
      <c r="AR15" s="583"/>
      <c r="AS15" s="583"/>
      <c r="AT15" s="583"/>
      <c r="AU15" s="583"/>
      <c r="AV15" s="583"/>
      <c r="AW15" s="583"/>
      <c r="AX15" s="583"/>
      <c r="AY15" s="583"/>
      <c r="AZ15" s="583"/>
      <c r="BA15" s="583"/>
      <c r="BB15" s="583"/>
      <c r="BC15" s="583"/>
      <c r="BD15" s="583"/>
      <c r="BE15" s="116"/>
      <c r="BF15" s="116"/>
      <c r="BG15" s="116"/>
      <c r="BH15" s="117"/>
      <c r="BI15" s="23"/>
      <c r="BJ15" s="543"/>
      <c r="BK15" s="543"/>
      <c r="BL15" s="543"/>
    </row>
    <row r="16" spans="2:72" ht="12" customHeight="1" thickBot="1" x14ac:dyDescent="0.35">
      <c r="B16" s="121"/>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118"/>
      <c r="AB16" s="118"/>
      <c r="AC16" s="118"/>
      <c r="AD16" s="118"/>
      <c r="AE16" s="118"/>
      <c r="AF16" s="118"/>
      <c r="AG16" s="584"/>
      <c r="AH16" s="584"/>
      <c r="AI16" s="584"/>
      <c r="AJ16" s="584"/>
      <c r="AK16" s="584"/>
      <c r="AL16" s="584"/>
      <c r="AM16" s="584"/>
      <c r="AN16" s="584"/>
      <c r="AO16" s="584"/>
      <c r="AP16" s="584"/>
      <c r="AQ16" s="584"/>
      <c r="AR16" s="584"/>
      <c r="AS16" s="584"/>
      <c r="AT16" s="584"/>
      <c r="AU16" s="584"/>
      <c r="AV16" s="584"/>
      <c r="AW16" s="584"/>
      <c r="AX16" s="584"/>
      <c r="AY16" s="584"/>
      <c r="AZ16" s="584"/>
      <c r="BA16" s="584"/>
      <c r="BB16" s="584"/>
      <c r="BC16" s="584"/>
      <c r="BD16" s="584"/>
      <c r="BE16" s="118"/>
      <c r="BF16" s="118"/>
      <c r="BG16" s="118"/>
      <c r="BH16" s="119"/>
      <c r="BI16" s="23"/>
      <c r="BJ16" s="544" t="str">
        <f>HLOOKUP(Language!$B$2,Language!$C$12:$H$656,172)</f>
        <v>Probable cause</v>
      </c>
      <c r="BK16" s="545"/>
      <c r="BL16" s="546"/>
    </row>
    <row r="17" spans="2:64" ht="12" customHeight="1" thickBot="1" x14ac:dyDescent="0.35">
      <c r="B17" s="107"/>
      <c r="G17"/>
      <c r="H17"/>
      <c r="I17"/>
      <c r="J17" s="23"/>
      <c r="K17" s="23"/>
      <c r="L17" s="23"/>
      <c r="M17" s="12"/>
      <c r="N17" s="12"/>
      <c r="O17" s="12"/>
      <c r="P17" s="12"/>
      <c r="Q17" s="12"/>
      <c r="R17" s="12"/>
      <c r="S17" s="12"/>
      <c r="T17" s="110"/>
      <c r="U17" s="12"/>
      <c r="V17" s="12"/>
      <c r="W17" s="12"/>
      <c r="X17" s="12"/>
      <c r="Y17" s="12"/>
      <c r="Z17" s="12"/>
      <c r="AA17" s="12"/>
      <c r="AB17" s="12"/>
      <c r="AC17" s="12"/>
      <c r="AD17" s="12"/>
      <c r="AE17" s="12"/>
      <c r="AF17" s="12"/>
      <c r="AG17" s="12"/>
      <c r="AH17" s="30"/>
      <c r="AI17" s="30"/>
      <c r="AJ17" s="30"/>
      <c r="AK17" s="30"/>
      <c r="AL17" s="30"/>
      <c r="AM17" s="30"/>
      <c r="AN17" s="30"/>
      <c r="AO17" s="30"/>
      <c r="AP17" s="30"/>
      <c r="AQ17" s="30"/>
      <c r="AR17" s="30"/>
      <c r="AS17" s="30"/>
      <c r="AT17" s="30"/>
      <c r="AU17" s="30"/>
      <c r="AV17" s="30"/>
      <c r="AW17" s="30"/>
      <c r="AX17" s="12"/>
      <c r="AY17" s="12"/>
      <c r="AZ17" s="12"/>
      <c r="BA17" s="12"/>
      <c r="BB17" s="12"/>
      <c r="BC17" s="12"/>
      <c r="BD17" s="12"/>
      <c r="BE17" s="12"/>
      <c r="BF17" s="12"/>
      <c r="BG17" s="12"/>
      <c r="BH17" s="84"/>
      <c r="BI17" s="12"/>
      <c r="BJ17" s="547"/>
      <c r="BK17" s="548"/>
      <c r="BL17" s="549"/>
    </row>
    <row r="18" spans="2:64" ht="12" customHeight="1" thickTop="1" x14ac:dyDescent="0.3">
      <c r="B18" s="107"/>
      <c r="C18" s="557" t="str">
        <f>HLOOKUP(Language!$B$2,Language!$C$12:$H$656,165)</f>
        <v>Men</v>
      </c>
      <c r="D18" s="558"/>
      <c r="E18" s="558"/>
      <c r="F18" s="558"/>
      <c r="G18" s="558"/>
      <c r="H18" s="559"/>
      <c r="I18" s="23"/>
      <c r="J18" s="23"/>
      <c r="K18" s="23"/>
      <c r="L18" s="557" t="str">
        <f>HLOOKUP(Language!$B$2,Language!$C$12:$H$656,166)</f>
        <v>Machine</v>
      </c>
      <c r="M18" s="558"/>
      <c r="N18" s="558"/>
      <c r="O18" s="558"/>
      <c r="P18" s="558"/>
      <c r="Q18" s="559"/>
      <c r="R18" s="12"/>
      <c r="S18" s="110"/>
      <c r="T18" s="12"/>
      <c r="U18" s="557" t="str">
        <f>HLOOKUP(Language!$B$2,Language!$C$12:$H$656,167)</f>
        <v>Environment</v>
      </c>
      <c r="V18" s="558"/>
      <c r="W18" s="558"/>
      <c r="X18" s="558"/>
      <c r="Y18" s="558"/>
      <c r="Z18" s="559"/>
      <c r="AA18"/>
      <c r="AB18" s="12"/>
      <c r="AC18" s="12"/>
      <c r="AD18" s="12"/>
      <c r="AE18" s="12"/>
      <c r="AF18" s="12"/>
      <c r="AG18" s="557" t="str">
        <f>HLOOKUP(Language!$B$2,Language!$C$12:$H$656,165)</f>
        <v>Men</v>
      </c>
      <c r="AH18" s="558"/>
      <c r="AI18" s="558"/>
      <c r="AJ18" s="558"/>
      <c r="AK18" s="558"/>
      <c r="AL18" s="559"/>
      <c r="AM18" s="30"/>
      <c r="AN18" s="30"/>
      <c r="AO18" s="30"/>
      <c r="AP18" s="557" t="str">
        <f>HLOOKUP(Language!$B$2,Language!$C$12:$H$656,166)</f>
        <v>Machine</v>
      </c>
      <c r="AQ18" s="558"/>
      <c r="AR18" s="558"/>
      <c r="AS18" s="558"/>
      <c r="AT18" s="558"/>
      <c r="AU18" s="559"/>
      <c r="AV18" s="12"/>
      <c r="AW18" s="12"/>
      <c r="AX18" s="12"/>
      <c r="AY18" s="557" t="str">
        <f>HLOOKUP(Language!$B$2,Language!$C$12:$H$656,167)</f>
        <v>Environment</v>
      </c>
      <c r="AZ18" s="558"/>
      <c r="BA18" s="558"/>
      <c r="BB18" s="558"/>
      <c r="BC18" s="558"/>
      <c r="BD18" s="559"/>
      <c r="BE18"/>
      <c r="BF18"/>
      <c r="BG18" s="12"/>
      <c r="BH18" s="84"/>
      <c r="BI18" s="12"/>
      <c r="BJ18" s="547" t="str">
        <f>HLOOKUP(Language!$B$2,Language!$C$12:$H$656,173)</f>
        <v>Possible cause</v>
      </c>
      <c r="BK18" s="548"/>
      <c r="BL18" s="549"/>
    </row>
    <row r="19" spans="2:64" ht="12" customHeight="1" thickBot="1" x14ac:dyDescent="0.35">
      <c r="B19" s="107"/>
      <c r="C19" s="560"/>
      <c r="D19" s="561"/>
      <c r="E19" s="561"/>
      <c r="F19" s="561"/>
      <c r="G19" s="561"/>
      <c r="H19" s="562"/>
      <c r="I19" s="30"/>
      <c r="J19" s="30"/>
      <c r="K19" s="30"/>
      <c r="L19" s="560"/>
      <c r="M19" s="561"/>
      <c r="N19" s="561"/>
      <c r="O19" s="561"/>
      <c r="P19" s="561"/>
      <c r="Q19" s="562"/>
      <c r="R19" s="15"/>
      <c r="S19" s="15"/>
      <c r="T19" s="15"/>
      <c r="U19" s="560"/>
      <c r="V19" s="561"/>
      <c r="W19" s="561"/>
      <c r="X19" s="561"/>
      <c r="Y19" s="561"/>
      <c r="Z19" s="562"/>
      <c r="AA19"/>
      <c r="AB19" s="30"/>
      <c r="AC19" s="30"/>
      <c r="AD19" s="15"/>
      <c r="AE19" s="15"/>
      <c r="AF19" s="15"/>
      <c r="AG19" s="560"/>
      <c r="AH19" s="561"/>
      <c r="AI19" s="561"/>
      <c r="AJ19" s="561"/>
      <c r="AK19" s="561"/>
      <c r="AL19" s="562"/>
      <c r="AM19" s="30"/>
      <c r="AN19" s="30"/>
      <c r="AO19" s="30"/>
      <c r="AP19" s="560"/>
      <c r="AQ19" s="561"/>
      <c r="AR19" s="561"/>
      <c r="AS19" s="561"/>
      <c r="AT19" s="561"/>
      <c r="AU19" s="562"/>
      <c r="AV19" s="15"/>
      <c r="AW19" s="15"/>
      <c r="AX19" s="15"/>
      <c r="AY19" s="560"/>
      <c r="AZ19" s="561"/>
      <c r="BA19" s="561"/>
      <c r="BB19" s="561"/>
      <c r="BC19" s="561"/>
      <c r="BD19" s="562"/>
      <c r="BE19"/>
      <c r="BF19"/>
      <c r="BG19" s="6"/>
      <c r="BH19" s="5"/>
      <c r="BI19" s="6"/>
      <c r="BJ19" s="547"/>
      <c r="BK19" s="548"/>
      <c r="BL19" s="549"/>
    </row>
    <row r="20" spans="2:64" ht="12" customHeight="1" thickTop="1" x14ac:dyDescent="0.3">
      <c r="B20" s="571">
        <v>1</v>
      </c>
      <c r="C20" s="567"/>
      <c r="D20" s="567"/>
      <c r="E20" s="567"/>
      <c r="F20" s="567"/>
      <c r="G20" s="567"/>
      <c r="H20" s="568"/>
      <c r="I20" s="12"/>
      <c r="J20" s="12"/>
      <c r="K20" s="556">
        <v>1</v>
      </c>
      <c r="L20" s="567"/>
      <c r="M20" s="567"/>
      <c r="N20" s="567"/>
      <c r="O20" s="567"/>
      <c r="P20" s="567"/>
      <c r="Q20" s="568"/>
      <c r="R20" s="12"/>
      <c r="S20" s="12"/>
      <c r="T20" s="556">
        <v>1</v>
      </c>
      <c r="U20" s="567"/>
      <c r="V20" s="567"/>
      <c r="W20" s="567"/>
      <c r="X20" s="567"/>
      <c r="Y20" s="567"/>
      <c r="Z20" s="568"/>
      <c r="AA20"/>
      <c r="AB20" s="12"/>
      <c r="AC20" s="12"/>
      <c r="AD20" s="12"/>
      <c r="AE20" s="12"/>
      <c r="AF20" s="556">
        <v>1</v>
      </c>
      <c r="AG20" s="567"/>
      <c r="AH20" s="567"/>
      <c r="AI20" s="567"/>
      <c r="AJ20" s="567"/>
      <c r="AK20" s="567"/>
      <c r="AL20" s="568"/>
      <c r="AM20" s="12"/>
      <c r="AN20" s="12"/>
      <c r="AO20" s="556">
        <v>1</v>
      </c>
      <c r="AP20" s="567"/>
      <c r="AQ20" s="567"/>
      <c r="AR20" s="567"/>
      <c r="AS20" s="567"/>
      <c r="AT20" s="567"/>
      <c r="AU20" s="568"/>
      <c r="AV20" s="12"/>
      <c r="AW20" s="12"/>
      <c r="AX20" s="556">
        <v>1</v>
      </c>
      <c r="AY20" s="567"/>
      <c r="AZ20" s="567"/>
      <c r="BA20" s="567"/>
      <c r="BB20" s="567"/>
      <c r="BC20" s="567"/>
      <c r="BD20" s="568"/>
      <c r="BE20"/>
      <c r="BF20"/>
      <c r="BG20" s="6"/>
      <c r="BH20" s="5"/>
      <c r="BI20" s="6"/>
      <c r="BJ20" s="547" t="str">
        <f>HLOOKUP(Language!$B$2,Language!$C$12:$H$656,174)</f>
        <v>Not the cause</v>
      </c>
      <c r="BK20" s="548"/>
      <c r="BL20" s="549"/>
    </row>
    <row r="21" spans="2:64" ht="12" customHeight="1" thickBot="1" x14ac:dyDescent="0.35">
      <c r="B21" s="571"/>
      <c r="C21" s="565"/>
      <c r="D21" s="565"/>
      <c r="E21" s="565"/>
      <c r="F21" s="565"/>
      <c r="G21" s="565"/>
      <c r="H21" s="566"/>
      <c r="I21" s="12"/>
      <c r="J21" s="12"/>
      <c r="K21" s="556"/>
      <c r="L21" s="565"/>
      <c r="M21" s="565"/>
      <c r="N21" s="565"/>
      <c r="O21" s="565"/>
      <c r="P21" s="565"/>
      <c r="Q21" s="566"/>
      <c r="R21" s="12"/>
      <c r="S21" s="12"/>
      <c r="T21" s="556"/>
      <c r="U21" s="565"/>
      <c r="V21" s="565"/>
      <c r="W21" s="565"/>
      <c r="X21" s="565"/>
      <c r="Y21" s="565"/>
      <c r="Z21" s="566"/>
      <c r="AA21"/>
      <c r="AB21" s="12"/>
      <c r="AC21" s="12"/>
      <c r="AD21" s="12"/>
      <c r="AE21" s="12"/>
      <c r="AF21" s="556"/>
      <c r="AG21" s="565"/>
      <c r="AH21" s="565"/>
      <c r="AI21" s="565"/>
      <c r="AJ21" s="565"/>
      <c r="AK21" s="565"/>
      <c r="AL21" s="566"/>
      <c r="AM21" s="12"/>
      <c r="AN21" s="12"/>
      <c r="AO21" s="556"/>
      <c r="AP21" s="565"/>
      <c r="AQ21" s="565"/>
      <c r="AR21" s="565"/>
      <c r="AS21" s="565"/>
      <c r="AT21" s="565"/>
      <c r="AU21" s="566"/>
      <c r="AV21" s="12"/>
      <c r="AW21" s="12"/>
      <c r="AX21" s="556"/>
      <c r="AY21" s="565"/>
      <c r="AZ21" s="565"/>
      <c r="BA21" s="565"/>
      <c r="BB21" s="565"/>
      <c r="BC21" s="565"/>
      <c r="BD21" s="566"/>
      <c r="BE21"/>
      <c r="BF21"/>
      <c r="BG21" s="23"/>
      <c r="BH21" s="32"/>
      <c r="BI21" s="23"/>
      <c r="BJ21" s="550"/>
      <c r="BK21" s="551"/>
      <c r="BL21" s="552"/>
    </row>
    <row r="22" spans="2:64" ht="12" customHeight="1" x14ac:dyDescent="0.3">
      <c r="B22" s="571">
        <v>2</v>
      </c>
      <c r="C22" s="563"/>
      <c r="D22" s="563"/>
      <c r="E22" s="563"/>
      <c r="F22" s="563"/>
      <c r="G22" s="563"/>
      <c r="H22" s="564"/>
      <c r="I22" s="12"/>
      <c r="J22" s="12"/>
      <c r="K22" s="556">
        <v>2</v>
      </c>
      <c r="L22" s="563"/>
      <c r="M22" s="563"/>
      <c r="N22" s="563"/>
      <c r="O22" s="563"/>
      <c r="P22" s="563"/>
      <c r="Q22" s="564"/>
      <c r="R22" s="12"/>
      <c r="S22" s="12"/>
      <c r="T22" s="556">
        <v>2</v>
      </c>
      <c r="U22" s="563"/>
      <c r="V22" s="563"/>
      <c r="W22" s="563"/>
      <c r="X22" s="563"/>
      <c r="Y22" s="563"/>
      <c r="Z22" s="564"/>
      <c r="AA22"/>
      <c r="AB22" s="12"/>
      <c r="AC22" s="12"/>
      <c r="AD22" s="12"/>
      <c r="AE22" s="12"/>
      <c r="AF22" s="556">
        <v>2</v>
      </c>
      <c r="AG22" s="563"/>
      <c r="AH22" s="563"/>
      <c r="AI22" s="563"/>
      <c r="AJ22" s="563"/>
      <c r="AK22" s="563"/>
      <c r="AL22" s="564"/>
      <c r="AM22" s="12"/>
      <c r="AN22" s="12"/>
      <c r="AO22" s="556">
        <v>2</v>
      </c>
      <c r="AP22" s="563"/>
      <c r="AQ22" s="563"/>
      <c r="AR22" s="563"/>
      <c r="AS22" s="563"/>
      <c r="AT22" s="563"/>
      <c r="AU22" s="564"/>
      <c r="AV22" s="12"/>
      <c r="AW22" s="12"/>
      <c r="AX22" s="556">
        <v>2</v>
      </c>
      <c r="AY22" s="563"/>
      <c r="AZ22" s="563"/>
      <c r="BA22" s="563"/>
      <c r="BB22" s="563"/>
      <c r="BC22" s="563"/>
      <c r="BD22" s="564"/>
      <c r="BE22"/>
      <c r="BF22"/>
      <c r="BG22" s="6"/>
      <c r="BH22" s="5"/>
      <c r="BI22" s="6"/>
      <c r="BJ22" s="536"/>
      <c r="BK22" s="539"/>
      <c r="BL22" s="533"/>
    </row>
    <row r="23" spans="2:64" ht="12" customHeight="1" x14ac:dyDescent="0.3">
      <c r="B23" s="571"/>
      <c r="C23" s="565"/>
      <c r="D23" s="565"/>
      <c r="E23" s="565"/>
      <c r="F23" s="565"/>
      <c r="G23" s="565"/>
      <c r="H23" s="566"/>
      <c r="I23" s="12"/>
      <c r="J23" s="12"/>
      <c r="K23" s="556"/>
      <c r="L23" s="565"/>
      <c r="M23" s="565"/>
      <c r="N23" s="565"/>
      <c r="O23" s="565"/>
      <c r="P23" s="565"/>
      <c r="Q23" s="566"/>
      <c r="R23" s="12"/>
      <c r="S23" s="12"/>
      <c r="T23" s="556"/>
      <c r="U23" s="565"/>
      <c r="V23" s="565"/>
      <c r="W23" s="565"/>
      <c r="X23" s="565"/>
      <c r="Y23" s="565"/>
      <c r="Z23" s="566"/>
      <c r="AA23"/>
      <c r="AB23" s="12"/>
      <c r="AC23" s="12"/>
      <c r="AD23" s="12"/>
      <c r="AE23" s="12"/>
      <c r="AF23" s="556"/>
      <c r="AG23" s="565"/>
      <c r="AH23" s="565"/>
      <c r="AI23" s="565"/>
      <c r="AJ23" s="565"/>
      <c r="AK23" s="565"/>
      <c r="AL23" s="566"/>
      <c r="AM23" s="12"/>
      <c r="AN23" s="12"/>
      <c r="AO23" s="556"/>
      <c r="AP23" s="565"/>
      <c r="AQ23" s="565"/>
      <c r="AR23" s="565"/>
      <c r="AS23" s="565"/>
      <c r="AT23" s="565"/>
      <c r="AU23" s="566"/>
      <c r="AV23" s="12"/>
      <c r="AW23" s="12"/>
      <c r="AX23" s="556"/>
      <c r="AY23" s="565"/>
      <c r="AZ23" s="565"/>
      <c r="BA23" s="565"/>
      <c r="BB23" s="565"/>
      <c r="BC23" s="565"/>
      <c r="BD23" s="566"/>
      <c r="BE23"/>
      <c r="BF23"/>
      <c r="BG23" s="6"/>
      <c r="BH23" s="5"/>
      <c r="BI23" s="6"/>
      <c r="BJ23" s="537"/>
      <c r="BK23" s="540"/>
      <c r="BL23" s="534"/>
    </row>
    <row r="24" spans="2:64" ht="12" customHeight="1" x14ac:dyDescent="0.3">
      <c r="B24" s="571">
        <v>3</v>
      </c>
      <c r="C24" s="563"/>
      <c r="D24" s="563"/>
      <c r="E24" s="563"/>
      <c r="F24" s="563"/>
      <c r="G24" s="563"/>
      <c r="H24" s="564"/>
      <c r="I24" s="15"/>
      <c r="J24" s="15"/>
      <c r="K24" s="556">
        <v>3</v>
      </c>
      <c r="L24" s="563"/>
      <c r="M24" s="563"/>
      <c r="N24" s="563"/>
      <c r="O24" s="563"/>
      <c r="P24" s="563"/>
      <c r="Q24" s="564"/>
      <c r="R24" s="15"/>
      <c r="S24" s="15"/>
      <c r="T24" s="556">
        <v>3</v>
      </c>
      <c r="U24" s="563"/>
      <c r="V24" s="563"/>
      <c r="W24" s="563"/>
      <c r="X24" s="563"/>
      <c r="Y24" s="563"/>
      <c r="Z24" s="564"/>
      <c r="AA24"/>
      <c r="AB24" s="15"/>
      <c r="AC24" s="15"/>
      <c r="AD24" s="15"/>
      <c r="AE24" s="15"/>
      <c r="AF24" s="556">
        <v>3</v>
      </c>
      <c r="AG24" s="563"/>
      <c r="AH24" s="563"/>
      <c r="AI24" s="563"/>
      <c r="AJ24" s="563"/>
      <c r="AK24" s="563"/>
      <c r="AL24" s="564"/>
      <c r="AM24" s="15"/>
      <c r="AN24" s="15"/>
      <c r="AO24" s="556">
        <v>3</v>
      </c>
      <c r="AP24" s="563"/>
      <c r="AQ24" s="563"/>
      <c r="AR24" s="563"/>
      <c r="AS24" s="563"/>
      <c r="AT24" s="563"/>
      <c r="AU24" s="564"/>
      <c r="AV24" s="15"/>
      <c r="AW24" s="15"/>
      <c r="AX24" s="556">
        <v>3</v>
      </c>
      <c r="AY24" s="563"/>
      <c r="AZ24" s="563"/>
      <c r="BA24" s="563"/>
      <c r="BB24" s="563"/>
      <c r="BC24" s="563"/>
      <c r="BD24" s="564"/>
      <c r="BE24"/>
      <c r="BF24"/>
      <c r="BG24" s="6"/>
      <c r="BH24" s="5"/>
      <c r="BI24" s="6"/>
      <c r="BJ24" s="537"/>
      <c r="BK24" s="540"/>
      <c r="BL24" s="534"/>
    </row>
    <row r="25" spans="2:64" ht="12" customHeight="1" x14ac:dyDescent="0.3">
      <c r="B25" s="571"/>
      <c r="C25" s="565"/>
      <c r="D25" s="565"/>
      <c r="E25" s="565"/>
      <c r="F25" s="565"/>
      <c r="G25" s="565"/>
      <c r="H25" s="566"/>
      <c r="I25" s="12"/>
      <c r="J25" s="12"/>
      <c r="K25" s="556"/>
      <c r="L25" s="565"/>
      <c r="M25" s="565"/>
      <c r="N25" s="565"/>
      <c r="O25" s="565"/>
      <c r="P25" s="565"/>
      <c r="Q25" s="566"/>
      <c r="R25" s="12"/>
      <c r="S25" s="12"/>
      <c r="T25" s="556"/>
      <c r="U25" s="565"/>
      <c r="V25" s="565"/>
      <c r="W25" s="565"/>
      <c r="X25" s="565"/>
      <c r="Y25" s="565"/>
      <c r="Z25" s="566"/>
      <c r="AA25"/>
      <c r="AB25" s="12"/>
      <c r="AC25" s="12"/>
      <c r="AD25" s="12"/>
      <c r="AE25" s="12"/>
      <c r="AF25" s="556"/>
      <c r="AG25" s="565"/>
      <c r="AH25" s="565"/>
      <c r="AI25" s="565"/>
      <c r="AJ25" s="565"/>
      <c r="AK25" s="565"/>
      <c r="AL25" s="566"/>
      <c r="AM25" s="12"/>
      <c r="AN25" s="12"/>
      <c r="AO25" s="556"/>
      <c r="AP25" s="565"/>
      <c r="AQ25" s="565"/>
      <c r="AR25" s="565"/>
      <c r="AS25" s="565"/>
      <c r="AT25" s="565"/>
      <c r="AU25" s="566"/>
      <c r="AV25" s="12"/>
      <c r="AW25" s="12"/>
      <c r="AX25" s="556"/>
      <c r="AY25" s="565"/>
      <c r="AZ25" s="565"/>
      <c r="BA25" s="565"/>
      <c r="BB25" s="565"/>
      <c r="BC25" s="565"/>
      <c r="BD25" s="566"/>
      <c r="BE25"/>
      <c r="BF25"/>
      <c r="BG25" s="6"/>
      <c r="BH25" s="5"/>
      <c r="BI25" s="6"/>
      <c r="BJ25" s="537"/>
      <c r="BK25" s="540"/>
      <c r="BL25" s="534"/>
    </row>
    <row r="26" spans="2:64" ht="12" customHeight="1" x14ac:dyDescent="0.3">
      <c r="B26" s="571">
        <v>4</v>
      </c>
      <c r="C26" s="563"/>
      <c r="D26" s="563"/>
      <c r="E26" s="563"/>
      <c r="F26" s="563"/>
      <c r="G26" s="563"/>
      <c r="H26" s="564"/>
      <c r="I26" s="15"/>
      <c r="J26" s="15"/>
      <c r="K26" s="556">
        <v>4</v>
      </c>
      <c r="L26" s="563"/>
      <c r="M26" s="563"/>
      <c r="N26" s="563"/>
      <c r="O26" s="563"/>
      <c r="P26" s="563"/>
      <c r="Q26" s="564"/>
      <c r="R26"/>
      <c r="S26"/>
      <c r="T26" s="556">
        <v>4</v>
      </c>
      <c r="U26" s="563"/>
      <c r="V26" s="563"/>
      <c r="W26" s="563"/>
      <c r="X26" s="563"/>
      <c r="Y26" s="563"/>
      <c r="Z26" s="564"/>
      <c r="AA26"/>
      <c r="AB26" s="15"/>
      <c r="AC26" s="15"/>
      <c r="AD26" s="15"/>
      <c r="AE26" s="15"/>
      <c r="AF26" s="556">
        <v>4</v>
      </c>
      <c r="AG26" s="563"/>
      <c r="AH26" s="563"/>
      <c r="AI26" s="563"/>
      <c r="AJ26" s="563"/>
      <c r="AK26" s="563"/>
      <c r="AL26" s="564"/>
      <c r="AM26" s="12"/>
      <c r="AN26" s="12"/>
      <c r="AO26" s="556">
        <v>4</v>
      </c>
      <c r="AP26" s="563"/>
      <c r="AQ26" s="563"/>
      <c r="AR26" s="563"/>
      <c r="AS26" s="563"/>
      <c r="AT26" s="563"/>
      <c r="AU26" s="564"/>
      <c r="AV26" s="15"/>
      <c r="AW26" s="15"/>
      <c r="AX26" s="556">
        <v>4</v>
      </c>
      <c r="AY26" s="563"/>
      <c r="AZ26" s="563"/>
      <c r="BA26" s="563"/>
      <c r="BB26" s="563"/>
      <c r="BC26" s="563"/>
      <c r="BD26" s="564"/>
      <c r="BE26"/>
      <c r="BF26"/>
      <c r="BG26" s="6"/>
      <c r="BH26" s="5"/>
      <c r="BI26" s="6"/>
      <c r="BJ26" s="537"/>
      <c r="BK26" s="540"/>
      <c r="BL26" s="534"/>
    </row>
    <row r="27" spans="2:64" ht="12" customHeight="1" x14ac:dyDescent="0.3">
      <c r="B27" s="571"/>
      <c r="C27" s="565"/>
      <c r="D27" s="565"/>
      <c r="E27" s="565"/>
      <c r="F27" s="565"/>
      <c r="G27" s="565"/>
      <c r="H27" s="566"/>
      <c r="I27" s="44"/>
      <c r="J27" s="44"/>
      <c r="K27" s="556"/>
      <c r="L27" s="565"/>
      <c r="M27" s="565"/>
      <c r="N27" s="565"/>
      <c r="O27" s="565"/>
      <c r="P27" s="565"/>
      <c r="Q27" s="566"/>
      <c r="R27"/>
      <c r="S27"/>
      <c r="T27" s="556"/>
      <c r="U27" s="565"/>
      <c r="V27" s="565"/>
      <c r="W27" s="565"/>
      <c r="X27" s="565"/>
      <c r="Y27" s="565"/>
      <c r="Z27" s="566"/>
      <c r="AA27"/>
      <c r="AB27" s="44"/>
      <c r="AC27" s="44"/>
      <c r="AD27" s="44"/>
      <c r="AE27" s="44"/>
      <c r="AF27" s="556"/>
      <c r="AG27" s="565"/>
      <c r="AH27" s="565"/>
      <c r="AI27" s="565"/>
      <c r="AJ27" s="565"/>
      <c r="AK27" s="565"/>
      <c r="AL27" s="566"/>
      <c r="AM27" s="45"/>
      <c r="AN27" s="45"/>
      <c r="AO27" s="556"/>
      <c r="AP27" s="565"/>
      <c r="AQ27" s="565"/>
      <c r="AR27" s="565"/>
      <c r="AS27" s="565"/>
      <c r="AT27" s="565"/>
      <c r="AU27" s="566"/>
      <c r="AV27" s="44"/>
      <c r="AW27" s="44"/>
      <c r="AX27" s="556"/>
      <c r="AY27" s="565"/>
      <c r="AZ27" s="565"/>
      <c r="BA27" s="565"/>
      <c r="BB27" s="565"/>
      <c r="BC27" s="565"/>
      <c r="BD27" s="566"/>
      <c r="BE27"/>
      <c r="BF27"/>
      <c r="BG27" s="6"/>
      <c r="BH27" s="5"/>
      <c r="BI27" s="6"/>
      <c r="BJ27" s="537"/>
      <c r="BK27" s="540"/>
      <c r="BL27" s="534"/>
    </row>
    <row r="28" spans="2:64" ht="12" customHeight="1" x14ac:dyDescent="0.3">
      <c r="B28" s="571">
        <v>5</v>
      </c>
      <c r="C28" s="563"/>
      <c r="D28" s="563"/>
      <c r="E28" s="563"/>
      <c r="F28" s="563"/>
      <c r="G28" s="563"/>
      <c r="H28" s="564"/>
      <c r="I28" s="30"/>
      <c r="J28" s="30"/>
      <c r="K28" s="556">
        <v>5</v>
      </c>
      <c r="L28" s="563"/>
      <c r="M28" s="563"/>
      <c r="N28" s="563"/>
      <c r="O28" s="563"/>
      <c r="P28" s="563"/>
      <c r="Q28" s="564"/>
      <c r="R28"/>
      <c r="S28"/>
      <c r="T28" s="556">
        <v>5</v>
      </c>
      <c r="U28" s="563"/>
      <c r="V28" s="563"/>
      <c r="W28" s="563"/>
      <c r="X28" s="563"/>
      <c r="Y28" s="563"/>
      <c r="Z28" s="564"/>
      <c r="AA28"/>
      <c r="AB28" s="14"/>
      <c r="AC28" s="14"/>
      <c r="AD28" s="14"/>
      <c r="AE28" s="14"/>
      <c r="AF28" s="556">
        <v>5</v>
      </c>
      <c r="AG28" s="563"/>
      <c r="AH28" s="563"/>
      <c r="AI28" s="563"/>
      <c r="AJ28" s="563"/>
      <c r="AK28" s="563"/>
      <c r="AL28" s="564"/>
      <c r="AM28" s="14"/>
      <c r="AN28" s="14"/>
      <c r="AO28" s="556">
        <v>5</v>
      </c>
      <c r="AP28" s="563"/>
      <c r="AQ28" s="563"/>
      <c r="AR28" s="563"/>
      <c r="AS28" s="563"/>
      <c r="AT28" s="563"/>
      <c r="AU28" s="564"/>
      <c r="AV28" s="30"/>
      <c r="AW28" s="30"/>
      <c r="AX28" s="556">
        <v>5</v>
      </c>
      <c r="AY28" s="563"/>
      <c r="AZ28" s="563"/>
      <c r="BA28" s="563"/>
      <c r="BB28" s="563"/>
      <c r="BC28" s="563"/>
      <c r="BD28" s="564"/>
      <c r="BE28"/>
      <c r="BF28"/>
      <c r="BG28" s="6"/>
      <c r="BH28" s="5"/>
      <c r="BI28" s="6"/>
      <c r="BJ28" s="537"/>
      <c r="BK28" s="540"/>
      <c r="BL28" s="534"/>
    </row>
    <row r="29" spans="2:64" ht="12" customHeight="1" x14ac:dyDescent="0.3">
      <c r="B29" s="571"/>
      <c r="C29" s="565"/>
      <c r="D29" s="565"/>
      <c r="E29" s="565"/>
      <c r="F29" s="565"/>
      <c r="G29" s="565"/>
      <c r="H29" s="566"/>
      <c r="I29" s="30"/>
      <c r="J29" s="30"/>
      <c r="K29" s="556"/>
      <c r="L29" s="565"/>
      <c r="M29" s="565"/>
      <c r="N29" s="565"/>
      <c r="O29" s="565"/>
      <c r="P29" s="565"/>
      <c r="Q29" s="566"/>
      <c r="R29" s="30"/>
      <c r="S29" s="30"/>
      <c r="T29" s="556"/>
      <c r="U29" s="565"/>
      <c r="V29" s="565"/>
      <c r="W29" s="565"/>
      <c r="X29" s="565"/>
      <c r="Y29" s="565"/>
      <c r="Z29" s="566"/>
      <c r="AA29"/>
      <c r="AB29" s="30"/>
      <c r="AC29" s="30"/>
      <c r="AD29" s="30"/>
      <c r="AE29" s="30"/>
      <c r="AF29" s="556"/>
      <c r="AG29" s="565"/>
      <c r="AH29" s="565"/>
      <c r="AI29" s="565"/>
      <c r="AJ29" s="565"/>
      <c r="AK29" s="565"/>
      <c r="AL29" s="566"/>
      <c r="AM29" s="46"/>
      <c r="AN29" s="46"/>
      <c r="AO29" s="556"/>
      <c r="AP29" s="565"/>
      <c r="AQ29" s="565"/>
      <c r="AR29" s="565"/>
      <c r="AS29" s="565"/>
      <c r="AT29" s="565"/>
      <c r="AU29" s="566"/>
      <c r="AV29" s="30"/>
      <c r="AW29" s="30"/>
      <c r="AX29" s="556"/>
      <c r="AY29" s="565"/>
      <c r="AZ29" s="565"/>
      <c r="BA29" s="565"/>
      <c r="BB29" s="565"/>
      <c r="BC29" s="565"/>
      <c r="BD29" s="566"/>
      <c r="BE29"/>
      <c r="BF29"/>
      <c r="BG29" s="6"/>
      <c r="BH29" s="5"/>
      <c r="BI29" s="6"/>
      <c r="BJ29" s="537"/>
      <c r="BK29" s="540"/>
      <c r="BL29" s="534"/>
    </row>
    <row r="30" spans="2:64" ht="12" customHeight="1" x14ac:dyDescent="0.3">
      <c r="B30" s="571">
        <v>6</v>
      </c>
      <c r="C30" s="563"/>
      <c r="D30" s="563"/>
      <c r="E30" s="563"/>
      <c r="F30" s="563"/>
      <c r="G30" s="563"/>
      <c r="H30" s="564"/>
      <c r="I30" s="12"/>
      <c r="J30" s="12"/>
      <c r="K30" s="556">
        <v>6</v>
      </c>
      <c r="L30" s="563"/>
      <c r="M30" s="563"/>
      <c r="N30" s="563"/>
      <c r="O30" s="563"/>
      <c r="P30" s="563"/>
      <c r="Q30" s="564"/>
      <c r="R30" s="12"/>
      <c r="S30" s="12"/>
      <c r="T30" s="556">
        <v>6</v>
      </c>
      <c r="U30" s="563"/>
      <c r="V30" s="563"/>
      <c r="W30" s="563"/>
      <c r="X30" s="563"/>
      <c r="Y30" s="563"/>
      <c r="Z30" s="564"/>
      <c r="AA30"/>
      <c r="AB30" s="12"/>
      <c r="AC30" s="12"/>
      <c r="AD30" s="12"/>
      <c r="AE30" s="12"/>
      <c r="AF30" s="556">
        <v>6</v>
      </c>
      <c r="AG30" s="563"/>
      <c r="AH30" s="563"/>
      <c r="AI30" s="563"/>
      <c r="AJ30" s="563"/>
      <c r="AK30" s="563"/>
      <c r="AL30" s="564"/>
      <c r="AM30" s="12"/>
      <c r="AN30" s="12"/>
      <c r="AO30" s="556">
        <v>6</v>
      </c>
      <c r="AP30" s="563"/>
      <c r="AQ30" s="563"/>
      <c r="AR30" s="563"/>
      <c r="AS30" s="563"/>
      <c r="AT30" s="563"/>
      <c r="AU30" s="564"/>
      <c r="AV30" s="12"/>
      <c r="AW30" s="12"/>
      <c r="AX30" s="556">
        <v>6</v>
      </c>
      <c r="AY30" s="563"/>
      <c r="AZ30" s="563"/>
      <c r="BA30" s="563"/>
      <c r="BB30" s="563"/>
      <c r="BC30" s="563"/>
      <c r="BD30" s="564"/>
      <c r="BE30"/>
      <c r="BF30"/>
      <c r="BG30" s="6"/>
      <c r="BH30" s="5"/>
      <c r="BI30" s="6"/>
      <c r="BJ30" s="537"/>
      <c r="BK30" s="540"/>
      <c r="BL30" s="534"/>
    </row>
    <row r="31" spans="2:64" ht="12" customHeight="1" x14ac:dyDescent="0.3">
      <c r="B31" s="571"/>
      <c r="C31" s="565"/>
      <c r="D31" s="565"/>
      <c r="E31" s="565"/>
      <c r="F31" s="565"/>
      <c r="G31" s="565"/>
      <c r="H31" s="566"/>
      <c r="I31" s="42"/>
      <c r="J31" s="42"/>
      <c r="K31" s="556"/>
      <c r="L31" s="565"/>
      <c r="M31" s="565"/>
      <c r="N31" s="565"/>
      <c r="O31" s="565"/>
      <c r="P31" s="565"/>
      <c r="Q31" s="566"/>
      <c r="R31" s="42"/>
      <c r="S31" s="42"/>
      <c r="T31" s="556"/>
      <c r="U31" s="565"/>
      <c r="V31" s="565"/>
      <c r="W31" s="565"/>
      <c r="X31" s="565"/>
      <c r="Y31" s="565"/>
      <c r="Z31" s="566"/>
      <c r="AA31"/>
      <c r="AB31" s="42"/>
      <c r="AC31" s="42"/>
      <c r="AD31" s="42"/>
      <c r="AE31" s="42"/>
      <c r="AF31" s="556"/>
      <c r="AG31" s="565"/>
      <c r="AH31" s="565"/>
      <c r="AI31" s="565"/>
      <c r="AJ31" s="565"/>
      <c r="AK31" s="565"/>
      <c r="AL31" s="566"/>
      <c r="AM31" s="42"/>
      <c r="AN31" s="42"/>
      <c r="AO31" s="556"/>
      <c r="AP31" s="565"/>
      <c r="AQ31" s="565"/>
      <c r="AR31" s="565"/>
      <c r="AS31" s="565"/>
      <c r="AT31" s="565"/>
      <c r="AU31" s="566"/>
      <c r="AV31" s="42"/>
      <c r="AW31" s="42"/>
      <c r="AX31" s="556"/>
      <c r="AY31" s="565"/>
      <c r="AZ31" s="565"/>
      <c r="BA31" s="565"/>
      <c r="BB31" s="565"/>
      <c r="BC31" s="565"/>
      <c r="BD31" s="566"/>
      <c r="BE31"/>
      <c r="BF31"/>
      <c r="BG31" s="38"/>
      <c r="BH31" s="49"/>
      <c r="BI31" s="38"/>
      <c r="BJ31" s="537"/>
      <c r="BK31" s="540"/>
      <c r="BL31" s="534"/>
    </row>
    <row r="32" spans="2:64" ht="12" customHeight="1" x14ac:dyDescent="0.3">
      <c r="B32" s="107"/>
      <c r="G32" s="38"/>
      <c r="H32" s="37"/>
      <c r="I32" s="37"/>
      <c r="J32" s="37"/>
      <c r="K32" s="37"/>
      <c r="L32" s="37"/>
      <c r="M32"/>
      <c r="N32" s="37"/>
      <c r="O32" s="37"/>
      <c r="P32" s="37"/>
      <c r="Q32" s="37"/>
      <c r="R32" s="37"/>
      <c r="S32" s="37"/>
      <c r="T32" s="37"/>
      <c r="U32" s="37"/>
      <c r="V32" s="37"/>
      <c r="W32" s="37"/>
      <c r="X32" s="37"/>
      <c r="Y32" s="37"/>
      <c r="Z32" s="43"/>
      <c r="AA32" s="43"/>
      <c r="AB32" s="43"/>
      <c r="AC32" s="43"/>
      <c r="AD32" s="43"/>
      <c r="AE32" s="43"/>
      <c r="AF32" s="43"/>
      <c r="AG32" s="43"/>
      <c r="AH32" s="43"/>
      <c r="AI32" s="43"/>
      <c r="AJ32" s="43"/>
      <c r="AK32" s="43"/>
      <c r="AL32" s="43"/>
      <c r="AM32" s="43"/>
      <c r="AN32" s="43"/>
      <c r="AO32" s="43"/>
      <c r="AP32" s="43"/>
      <c r="AQ32" s="43"/>
      <c r="AR32" s="43"/>
      <c r="AS32" s="43"/>
      <c r="AT32" s="37"/>
      <c r="AU32" s="37"/>
      <c r="AV32" s="37"/>
      <c r="AW32" s="37"/>
      <c r="AX32" s="37"/>
      <c r="AY32" s="37"/>
      <c r="AZ32" s="37"/>
      <c r="BA32" s="37"/>
      <c r="BB32" s="37"/>
      <c r="BC32" s="38"/>
      <c r="BD32" s="38"/>
      <c r="BE32" s="38"/>
      <c r="BF32" s="38"/>
      <c r="BG32" s="38"/>
      <c r="BH32" s="49"/>
      <c r="BI32" s="38"/>
      <c r="BJ32" s="537"/>
      <c r="BK32" s="540"/>
      <c r="BL32" s="534"/>
    </row>
    <row r="33" spans="2:64" ht="12" customHeight="1" x14ac:dyDescent="0.3">
      <c r="B33" s="107"/>
      <c r="G33" s="58"/>
      <c r="H33" s="37"/>
      <c r="I33" s="37"/>
      <c r="J33" s="37"/>
      <c r="K33" s="37"/>
      <c r="L33" s="37"/>
      <c r="M33" s="37"/>
      <c r="N33" s="37"/>
      <c r="O33" s="37"/>
      <c r="P33" s="37"/>
      <c r="Q33" s="37"/>
      <c r="R33" s="37"/>
      <c r="S33" s="37"/>
      <c r="T33" s="37"/>
      <c r="U33" s="37"/>
      <c r="V33" s="37"/>
      <c r="W33" s="37"/>
      <c r="X33" s="37"/>
      <c r="Y33" s="37"/>
      <c r="Z33" s="43"/>
      <c r="AA33" s="43"/>
      <c r="AB33" s="43"/>
      <c r="AC33" s="43"/>
      <c r="AD33" s="43"/>
      <c r="AE33" s="43"/>
      <c r="AF33" s="43"/>
      <c r="AG33" s="43"/>
      <c r="AH33" s="43"/>
      <c r="AI33" s="43"/>
      <c r="AJ33" s="43"/>
      <c r="AK33" s="43"/>
      <c r="AL33" s="43"/>
      <c r="AM33" s="43"/>
      <c r="AN33" s="43"/>
      <c r="AO33" s="43"/>
      <c r="AP33" s="43"/>
      <c r="AQ33" s="43"/>
      <c r="AR33" s="43"/>
      <c r="AS33" s="43"/>
      <c r="AT33" s="37"/>
      <c r="AU33" s="37"/>
      <c r="AV33" s="37"/>
      <c r="AW33" s="37"/>
      <c r="AX33" s="37"/>
      <c r="AY33" s="37"/>
      <c r="AZ33" s="37"/>
      <c r="BA33" s="37"/>
      <c r="BB33" s="37"/>
      <c r="BC33" s="58"/>
      <c r="BD33" s="58"/>
      <c r="BE33" s="58"/>
      <c r="BF33" s="58"/>
      <c r="BG33" s="58"/>
      <c r="BH33" s="51"/>
      <c r="BI33" s="58"/>
      <c r="BJ33" s="537"/>
      <c r="BK33" s="540"/>
      <c r="BL33" s="534"/>
    </row>
    <row r="34" spans="2:64" ht="12" customHeight="1" x14ac:dyDescent="0.3">
      <c r="B34" s="107"/>
      <c r="G34" s="38"/>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8"/>
      <c r="BD34" s="38"/>
      <c r="BE34" s="38"/>
      <c r="BF34" s="38"/>
      <c r="BG34" s="38"/>
      <c r="BH34" s="49"/>
      <c r="BI34" s="38"/>
      <c r="BJ34" s="537"/>
      <c r="BK34" s="540"/>
      <c r="BL34" s="534"/>
    </row>
    <row r="35" spans="2:64" ht="12" customHeight="1" x14ac:dyDescent="0.3">
      <c r="B35" s="107"/>
      <c r="G35" s="23"/>
      <c r="H35" s="23"/>
      <c r="I35" s="23"/>
      <c r="J35" s="23"/>
      <c r="K35" s="23"/>
      <c r="L35" s="23"/>
      <c r="M35" s="23"/>
      <c r="N35" s="23"/>
      <c r="O35" s="23"/>
      <c r="P35" s="23"/>
      <c r="Q35" s="23"/>
      <c r="R35" s="23"/>
      <c r="S35" s="23"/>
      <c r="T35" s="23"/>
      <c r="U35" s="23"/>
      <c r="V35" s="23"/>
      <c r="W35" s="23"/>
      <c r="X35" s="23"/>
      <c r="Y35" s="23"/>
      <c r="Z35" s="23"/>
      <c r="AA35" s="23"/>
      <c r="AB35" s="23"/>
      <c r="AC35" s="23"/>
      <c r="AD35" s="569" t="s">
        <v>147</v>
      </c>
      <c r="AE35" s="569"/>
      <c r="AF35" s="569"/>
      <c r="AG35" s="569"/>
      <c r="AH35" s="569"/>
      <c r="AI35" s="569"/>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32"/>
      <c r="BI35" s="23"/>
      <c r="BJ35" s="537"/>
      <c r="BK35" s="540"/>
      <c r="BL35" s="534"/>
    </row>
    <row r="36" spans="2:64" ht="12" customHeight="1" thickBot="1" x14ac:dyDescent="0.35">
      <c r="B36" s="107"/>
      <c r="G36" s="56"/>
      <c r="H36" s="56"/>
      <c r="I36" s="56"/>
      <c r="J36" s="56"/>
      <c r="K36" s="56"/>
      <c r="L36" s="56"/>
      <c r="M36" s="56"/>
      <c r="N36" s="56"/>
      <c r="O36" s="56"/>
      <c r="P36" s="56"/>
      <c r="Q36" s="56"/>
      <c r="R36" s="56"/>
      <c r="S36" s="56"/>
      <c r="T36" s="56"/>
      <c r="U36" s="56"/>
      <c r="V36" s="56"/>
      <c r="W36" s="56"/>
      <c r="X36" s="56"/>
      <c r="Y36" s="56"/>
      <c r="Z36" s="56"/>
      <c r="AA36" s="56"/>
      <c r="AB36" s="58"/>
      <c r="AC36" s="58"/>
      <c r="AD36" s="570"/>
      <c r="AE36" s="570"/>
      <c r="AF36" s="570"/>
      <c r="AG36" s="570"/>
      <c r="AH36" s="570"/>
      <c r="AI36" s="570"/>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7"/>
      <c r="BI36" s="56"/>
      <c r="BJ36" s="537"/>
      <c r="BK36" s="540"/>
      <c r="BL36" s="534"/>
    </row>
    <row r="37" spans="2:64" ht="12" customHeight="1" thickTop="1" x14ac:dyDescent="0.3">
      <c r="B37" s="107"/>
      <c r="G37" s="56"/>
      <c r="H37" s="48"/>
      <c r="I37" s="48"/>
      <c r="J37" s="48"/>
      <c r="K37" s="48"/>
      <c r="L37" s="48"/>
      <c r="M37" s="48"/>
      <c r="N37" s="48"/>
      <c r="O37" s="48"/>
      <c r="P37" s="48"/>
      <c r="Q37" s="48"/>
      <c r="R37" s="48"/>
      <c r="S37" s="48"/>
      <c r="T37" s="48"/>
      <c r="U37" s="48"/>
      <c r="V37" s="48"/>
      <c r="W37" s="48"/>
      <c r="X37" s="48"/>
      <c r="Y37" s="48"/>
      <c r="Z37" s="48"/>
      <c r="AA37" s="48"/>
      <c r="AB37" s="58"/>
      <c r="AC37" s="111"/>
      <c r="AD37" s="572"/>
      <c r="AE37" s="573"/>
      <c r="AF37" s="573"/>
      <c r="AG37" s="573"/>
      <c r="AH37" s="573"/>
      <c r="AI37" s="574"/>
      <c r="AJ37" s="37"/>
      <c r="AK37" s="37"/>
      <c r="AL37" s="37"/>
      <c r="AM37" s="37"/>
      <c r="AN37" s="37"/>
      <c r="AO37" s="37"/>
      <c r="AP37" s="37"/>
      <c r="AQ37" s="37"/>
      <c r="AR37" s="37"/>
      <c r="AS37" s="37"/>
      <c r="AT37" s="37"/>
      <c r="AU37" s="37"/>
      <c r="AV37" s="37"/>
      <c r="AW37" s="37"/>
      <c r="AX37" s="37"/>
      <c r="AY37" s="58"/>
      <c r="AZ37" s="58"/>
      <c r="BA37" s="58"/>
      <c r="BB37" s="58"/>
      <c r="BC37" s="56"/>
      <c r="BD37" s="56"/>
      <c r="BE37" s="56"/>
      <c r="BF37" s="56"/>
      <c r="BG37" s="56"/>
      <c r="BH37" s="57"/>
      <c r="BI37" s="56"/>
      <c r="BJ37" s="537"/>
      <c r="BK37" s="540"/>
      <c r="BL37" s="534"/>
    </row>
    <row r="38" spans="2:64" ht="12" customHeight="1" thickBot="1" x14ac:dyDescent="0.35">
      <c r="B38" s="107"/>
      <c r="G38" s="56"/>
      <c r="H38" s="60"/>
      <c r="I38" s="60"/>
      <c r="J38" s="60"/>
      <c r="K38" s="60"/>
      <c r="L38" s="60"/>
      <c r="M38" s="60"/>
      <c r="N38" s="60"/>
      <c r="O38" s="60"/>
      <c r="P38" s="60"/>
      <c r="Q38" s="60"/>
      <c r="R38" s="60"/>
      <c r="S38" s="60"/>
      <c r="T38" s="60"/>
      <c r="U38" s="60"/>
      <c r="V38" s="60"/>
      <c r="W38" s="60"/>
      <c r="X38" s="60"/>
      <c r="Y38" s="60"/>
      <c r="Z38" s="60"/>
      <c r="AA38" s="60"/>
      <c r="AB38" s="58"/>
      <c r="AC38" s="111"/>
      <c r="AD38" s="575"/>
      <c r="AE38" s="576"/>
      <c r="AF38" s="576"/>
      <c r="AG38" s="576"/>
      <c r="AH38" s="576"/>
      <c r="AI38" s="577"/>
      <c r="AJ38" s="124"/>
      <c r="AK38" s="124"/>
      <c r="AL38" s="124"/>
      <c r="AM38" s="124"/>
      <c r="AN38" s="124"/>
      <c r="AO38" s="124"/>
      <c r="AP38" s="124"/>
      <c r="AQ38" s="124"/>
      <c r="AR38" s="124"/>
      <c r="AS38" s="124"/>
      <c r="AT38" s="124"/>
      <c r="AU38" s="124"/>
      <c r="AV38" s="124"/>
      <c r="AW38" s="124"/>
      <c r="AX38" s="124"/>
      <c r="AY38" s="58"/>
      <c r="AZ38" s="58"/>
      <c r="BA38" s="58"/>
      <c r="BB38" s="58"/>
      <c r="BC38" s="56"/>
      <c r="BD38" s="56"/>
      <c r="BE38" s="56"/>
      <c r="BF38" s="56"/>
      <c r="BG38" s="56"/>
      <c r="BH38" s="57"/>
      <c r="BI38" s="56"/>
      <c r="BJ38" s="538"/>
      <c r="BK38" s="541"/>
      <c r="BL38" s="535"/>
    </row>
    <row r="39" spans="2:64" ht="12" customHeight="1" x14ac:dyDescent="0.3">
      <c r="B39" s="107"/>
      <c r="G39" s="56"/>
      <c r="H39" s="43"/>
      <c r="I39" s="43"/>
      <c r="J39" s="43"/>
      <c r="K39" s="43"/>
      <c r="L39" s="43"/>
      <c r="M39" s="43"/>
      <c r="N39" s="43"/>
      <c r="O39" s="43"/>
      <c r="P39" s="43"/>
      <c r="Q39" s="43"/>
      <c r="R39" s="43"/>
      <c r="S39" s="43"/>
      <c r="T39" s="43"/>
      <c r="U39" s="43"/>
      <c r="V39" s="43"/>
      <c r="W39" s="43"/>
      <c r="X39" s="43"/>
      <c r="Y39" s="43"/>
      <c r="Z39" s="43"/>
      <c r="AA39" s="43"/>
      <c r="AB39" s="58"/>
      <c r="AC39" s="111"/>
      <c r="AD39" s="575"/>
      <c r="AE39" s="576"/>
      <c r="AF39" s="576"/>
      <c r="AG39" s="576"/>
      <c r="AH39" s="576"/>
      <c r="AI39" s="577"/>
      <c r="AJ39" s="124"/>
      <c r="AK39" s="124"/>
      <c r="AL39" s="124"/>
      <c r="AM39" s="124"/>
      <c r="AN39" s="124"/>
      <c r="AO39" s="124"/>
      <c r="AP39" s="124"/>
      <c r="AQ39" s="124"/>
      <c r="AR39" s="124"/>
      <c r="AS39" s="124"/>
      <c r="AT39" s="124"/>
      <c r="AU39" s="124"/>
      <c r="AV39" s="124"/>
      <c r="AW39" s="124"/>
      <c r="AX39" s="124"/>
      <c r="AY39" s="58"/>
      <c r="AZ39" s="58"/>
      <c r="BA39" s="58"/>
      <c r="BB39" s="58"/>
      <c r="BC39" s="56"/>
      <c r="BD39" s="56"/>
      <c r="BE39" s="56"/>
      <c r="BF39" s="56"/>
      <c r="BG39" s="56"/>
      <c r="BH39" s="57"/>
      <c r="BI39" s="56"/>
    </row>
    <row r="40" spans="2:64" ht="12" customHeight="1" x14ac:dyDescent="0.3">
      <c r="B40" s="107"/>
      <c r="G40" s="56"/>
      <c r="H40" s="43"/>
      <c r="I40" s="43"/>
      <c r="J40" s="43"/>
      <c r="K40" s="43"/>
      <c r="L40" s="43"/>
      <c r="M40" s="43"/>
      <c r="N40" s="43"/>
      <c r="O40" s="43"/>
      <c r="P40" s="43"/>
      <c r="Q40" s="43"/>
      <c r="R40" s="43"/>
      <c r="S40" s="43"/>
      <c r="T40" s="43"/>
      <c r="U40" s="43"/>
      <c r="V40" s="43"/>
      <c r="W40" s="43"/>
      <c r="X40" s="43"/>
      <c r="Y40" s="43"/>
      <c r="Z40" s="43"/>
      <c r="AA40" s="43"/>
      <c r="AB40" s="58"/>
      <c r="AC40" s="111"/>
      <c r="AD40" s="575"/>
      <c r="AE40" s="576"/>
      <c r="AF40" s="576"/>
      <c r="AG40" s="576"/>
      <c r="AH40" s="576"/>
      <c r="AI40" s="577"/>
      <c r="AJ40" s="124"/>
      <c r="AK40" s="124"/>
      <c r="AL40" s="124"/>
      <c r="AM40" s="124"/>
      <c r="AN40" s="124"/>
      <c r="AO40" s="124"/>
      <c r="AP40" s="124"/>
      <c r="AQ40" s="124"/>
      <c r="AR40" s="124"/>
      <c r="AS40" s="124"/>
      <c r="AT40" s="124"/>
      <c r="AU40" s="124"/>
      <c r="AV40" s="124"/>
      <c r="AW40" s="124"/>
      <c r="AX40" s="124"/>
      <c r="AY40" s="58"/>
      <c r="AZ40" s="58"/>
      <c r="BA40" s="58"/>
      <c r="BB40" s="58"/>
      <c r="BC40" s="56"/>
      <c r="BD40" s="56"/>
      <c r="BE40" s="56"/>
      <c r="BF40" s="56"/>
      <c r="BG40" s="56"/>
      <c r="BH40" s="57"/>
      <c r="BI40" s="56"/>
    </row>
    <row r="41" spans="2:64" ht="3" customHeight="1" x14ac:dyDescent="0.3">
      <c r="B41" s="107"/>
      <c r="C41" s="103"/>
      <c r="D41" s="103"/>
      <c r="E41" s="103"/>
      <c r="F41" s="103"/>
      <c r="G41" s="104"/>
      <c r="H41" s="106"/>
      <c r="I41" s="106"/>
      <c r="J41" s="106"/>
      <c r="K41" s="106"/>
      <c r="L41" s="106"/>
      <c r="M41" s="106"/>
      <c r="N41" s="106"/>
      <c r="O41" s="106"/>
      <c r="P41" s="106"/>
      <c r="Q41" s="106"/>
      <c r="R41" s="106"/>
      <c r="S41" s="106"/>
      <c r="T41" s="106"/>
      <c r="U41" s="106"/>
      <c r="V41" s="106"/>
      <c r="W41" s="106"/>
      <c r="X41" s="106"/>
      <c r="Y41" s="106"/>
      <c r="Z41" s="106"/>
      <c r="AA41" s="106"/>
      <c r="AB41" s="105"/>
      <c r="AC41" s="112"/>
      <c r="AD41" s="575"/>
      <c r="AE41" s="576"/>
      <c r="AF41" s="576"/>
      <c r="AG41" s="576"/>
      <c r="AH41" s="576"/>
      <c r="AI41" s="577"/>
      <c r="AJ41" s="125"/>
      <c r="AK41" s="125"/>
      <c r="AL41" s="125"/>
      <c r="AM41" s="125"/>
      <c r="AN41" s="125"/>
      <c r="AO41" s="125"/>
      <c r="AP41" s="125"/>
      <c r="AQ41" s="125"/>
      <c r="AR41" s="125"/>
      <c r="AS41" s="125"/>
      <c r="AT41" s="125"/>
      <c r="AU41" s="125"/>
      <c r="AV41" s="125"/>
      <c r="AW41" s="125"/>
      <c r="AX41" s="125"/>
      <c r="AY41" s="105"/>
      <c r="AZ41" s="105"/>
      <c r="BA41" s="105"/>
      <c r="BB41" s="105"/>
      <c r="BC41" s="104"/>
      <c r="BD41" s="104"/>
      <c r="BE41" s="104"/>
      <c r="BF41" s="104"/>
      <c r="BG41" s="104"/>
      <c r="BH41" s="57"/>
      <c r="BI41" s="56"/>
    </row>
    <row r="42" spans="2:64" ht="12" customHeight="1" x14ac:dyDescent="0.3">
      <c r="B42" s="107"/>
      <c r="G42" s="56"/>
      <c r="H42" s="43"/>
      <c r="I42" s="43"/>
      <c r="J42" s="43"/>
      <c r="K42" s="43"/>
      <c r="L42" s="43"/>
      <c r="M42" s="43"/>
      <c r="N42" s="43"/>
      <c r="O42" s="43"/>
      <c r="P42" s="43"/>
      <c r="Q42" s="43"/>
      <c r="R42" s="43"/>
      <c r="S42" s="43"/>
      <c r="T42" s="43"/>
      <c r="U42" s="43"/>
      <c r="V42" s="43"/>
      <c r="W42" s="43"/>
      <c r="X42" s="43"/>
      <c r="Y42" s="43"/>
      <c r="Z42" s="43"/>
      <c r="AA42" s="43"/>
      <c r="AB42" s="58"/>
      <c r="AC42" s="111"/>
      <c r="AD42" s="575"/>
      <c r="AE42" s="576"/>
      <c r="AF42" s="576"/>
      <c r="AG42" s="576"/>
      <c r="AH42" s="576"/>
      <c r="AI42" s="577"/>
      <c r="AJ42" s="37"/>
      <c r="AK42" s="37"/>
      <c r="AL42" s="37"/>
      <c r="AM42" s="37"/>
      <c r="AN42" s="37"/>
      <c r="AO42" s="37"/>
      <c r="AP42" s="37"/>
      <c r="AQ42" s="37"/>
      <c r="AR42" s="37"/>
      <c r="AS42" s="37"/>
      <c r="AT42" s="37"/>
      <c r="AU42" s="37"/>
      <c r="AV42" s="37"/>
      <c r="AW42" s="37"/>
      <c r="AX42" s="37"/>
      <c r="AY42" s="59"/>
      <c r="AZ42" s="59"/>
      <c r="BA42" s="59"/>
      <c r="BB42" s="59"/>
      <c r="BC42" s="56"/>
      <c r="BD42" s="56"/>
      <c r="BE42" s="56"/>
      <c r="BF42" s="56"/>
      <c r="BG42" s="56"/>
      <c r="BH42" s="57"/>
      <c r="BI42" s="56"/>
    </row>
    <row r="43" spans="2:64" ht="12" customHeight="1" x14ac:dyDescent="0.3">
      <c r="B43" s="107"/>
      <c r="G43" s="56"/>
      <c r="H43" s="59"/>
      <c r="I43" s="59"/>
      <c r="J43" s="59"/>
      <c r="K43" s="59"/>
      <c r="L43" s="59"/>
      <c r="M43" s="59"/>
      <c r="N43" s="59"/>
      <c r="O43" s="59"/>
      <c r="P43" s="59"/>
      <c r="Q43" s="59"/>
      <c r="R43" s="59"/>
      <c r="S43" s="59"/>
      <c r="T43" s="59"/>
      <c r="U43" s="59"/>
      <c r="V43" s="59"/>
      <c r="W43" s="59"/>
      <c r="X43" s="60"/>
      <c r="Y43" s="48"/>
      <c r="Z43" s="48"/>
      <c r="AA43" s="48"/>
      <c r="AB43" s="58"/>
      <c r="AC43" s="111"/>
      <c r="AD43" s="575"/>
      <c r="AE43" s="576"/>
      <c r="AF43" s="576"/>
      <c r="AG43" s="576"/>
      <c r="AH43" s="576"/>
      <c r="AI43" s="577"/>
      <c r="AJ43" s="48"/>
      <c r="AK43" s="48"/>
      <c r="AL43" s="48"/>
      <c r="AM43" s="48"/>
      <c r="AN43" s="48"/>
      <c r="AO43" s="48"/>
      <c r="AP43" s="48"/>
      <c r="AQ43" s="48"/>
      <c r="AR43" s="48"/>
      <c r="AS43" s="48"/>
      <c r="AT43" s="48"/>
      <c r="AU43" s="48"/>
      <c r="AV43" s="48"/>
      <c r="AW43" s="59"/>
      <c r="AX43" s="59"/>
      <c r="AY43" s="59"/>
      <c r="AZ43" s="59"/>
      <c r="BA43" s="59"/>
      <c r="BB43" s="59"/>
      <c r="BC43" s="56"/>
      <c r="BD43" s="56"/>
      <c r="BE43" s="56"/>
      <c r="BF43" s="56"/>
      <c r="BG43" s="56"/>
      <c r="BH43" s="57"/>
      <c r="BI43" s="56"/>
    </row>
    <row r="44" spans="2:64" ht="12" customHeight="1" x14ac:dyDescent="0.3">
      <c r="B44" s="107"/>
      <c r="G44" s="56"/>
      <c r="H44" s="59"/>
      <c r="I44" s="59"/>
      <c r="J44" s="59"/>
      <c r="K44" s="59"/>
      <c r="L44" s="59"/>
      <c r="M44" s="59"/>
      <c r="N44" s="59"/>
      <c r="O44" s="59"/>
      <c r="P44" s="59"/>
      <c r="Q44" s="37"/>
      <c r="R44" s="37"/>
      <c r="S44" s="37"/>
      <c r="T44" s="37"/>
      <c r="U44" s="37"/>
      <c r="V44" s="37"/>
      <c r="W44" s="37"/>
      <c r="X44" s="37"/>
      <c r="Y44" s="37"/>
      <c r="Z44" s="37"/>
      <c r="AA44" s="37"/>
      <c r="AB44" s="58"/>
      <c r="AC44" s="111"/>
      <c r="AD44" s="575"/>
      <c r="AE44" s="576"/>
      <c r="AF44" s="576"/>
      <c r="AG44" s="576"/>
      <c r="AH44" s="576"/>
      <c r="AI44" s="577"/>
      <c r="AJ44" s="37"/>
      <c r="AK44" s="37"/>
      <c r="AL44" s="37"/>
      <c r="AM44" s="37"/>
      <c r="AN44" s="37"/>
      <c r="AO44" s="37"/>
      <c r="AP44" s="37"/>
      <c r="AQ44" s="37"/>
      <c r="AR44" s="37"/>
      <c r="AS44" s="37"/>
      <c r="AT44" s="37"/>
      <c r="AU44" s="37"/>
      <c r="AV44" s="43"/>
      <c r="AW44" s="43"/>
      <c r="AX44" s="43"/>
      <c r="AY44" s="43"/>
      <c r="AZ44" s="43"/>
      <c r="BA44" s="43"/>
      <c r="BB44" s="59"/>
      <c r="BC44" s="56"/>
      <c r="BD44" s="56"/>
      <c r="BE44" s="56"/>
      <c r="BF44" s="56"/>
      <c r="BG44" s="56"/>
      <c r="BH44" s="57"/>
      <c r="BI44" s="56"/>
    </row>
    <row r="45" spans="2:64" ht="12" customHeight="1" thickBot="1" x14ac:dyDescent="0.35">
      <c r="B45" s="107"/>
      <c r="G45" s="56"/>
      <c r="H45" s="59"/>
      <c r="I45" s="59"/>
      <c r="J45" s="59"/>
      <c r="K45" s="59"/>
      <c r="L45" s="59"/>
      <c r="M45" s="59"/>
      <c r="N45" s="59"/>
      <c r="O45" s="59"/>
      <c r="P45" s="48"/>
      <c r="Q45" s="58"/>
      <c r="R45" s="58"/>
      <c r="S45" s="58"/>
      <c r="T45" s="58"/>
      <c r="U45" s="58"/>
      <c r="V45" s="58"/>
      <c r="W45" s="58"/>
      <c r="X45" s="58"/>
      <c r="Y45" s="58"/>
      <c r="Z45" s="58"/>
      <c r="AA45" s="58"/>
      <c r="AB45" s="58"/>
      <c r="AC45" s="111"/>
      <c r="AD45" s="578"/>
      <c r="AE45" s="579"/>
      <c r="AF45" s="579"/>
      <c r="AG45" s="579"/>
      <c r="AH45" s="579"/>
      <c r="AI45" s="580"/>
      <c r="AJ45" s="79"/>
      <c r="AK45" s="79"/>
      <c r="AL45" s="79"/>
      <c r="AM45" s="79"/>
      <c r="AN45" s="79"/>
      <c r="AO45" s="79"/>
      <c r="AP45" s="79"/>
      <c r="AQ45" s="79"/>
      <c r="AR45" s="79"/>
      <c r="AS45" s="79"/>
      <c r="AT45" s="79"/>
      <c r="AU45" s="79"/>
      <c r="AV45" s="79"/>
      <c r="AW45" s="79"/>
      <c r="AX45" s="79"/>
      <c r="AY45" s="60"/>
      <c r="AZ45" s="60"/>
      <c r="BA45" s="60"/>
      <c r="BB45" s="59"/>
      <c r="BC45" s="56"/>
      <c r="BD45" s="56"/>
      <c r="BE45" s="56"/>
      <c r="BF45" s="56"/>
      <c r="BG45" s="56"/>
      <c r="BH45" s="57"/>
      <c r="BI45" s="56"/>
    </row>
    <row r="46" spans="2:64" ht="12" customHeight="1" thickTop="1" x14ac:dyDescent="0.3">
      <c r="B46" s="107"/>
      <c r="G46" s="56"/>
      <c r="H46" s="59"/>
      <c r="I46" s="59"/>
      <c r="J46" s="59"/>
      <c r="K46" s="59"/>
      <c r="L46" s="59"/>
      <c r="M46" s="59"/>
      <c r="N46" s="59"/>
      <c r="O46" s="59"/>
      <c r="P46" s="48"/>
      <c r="Q46" s="43"/>
      <c r="R46" s="43"/>
      <c r="S46" s="43"/>
      <c r="T46" s="43"/>
      <c r="U46" s="43"/>
      <c r="V46" s="43"/>
      <c r="W46" s="43"/>
      <c r="X46" s="43"/>
      <c r="Y46" s="43"/>
      <c r="Z46" s="43"/>
      <c r="AA46" s="43"/>
      <c r="AB46" s="58"/>
      <c r="AC46" s="58"/>
      <c r="AD46" s="58"/>
      <c r="AE46" s="58"/>
      <c r="AF46" s="58"/>
      <c r="AG46" s="58"/>
      <c r="AH46" s="58"/>
      <c r="AI46" s="43"/>
      <c r="AJ46" s="79"/>
      <c r="AK46" s="79"/>
      <c r="AL46" s="79"/>
      <c r="AM46" s="79"/>
      <c r="AN46" s="79"/>
      <c r="AO46" s="79"/>
      <c r="AP46" s="79"/>
      <c r="AQ46" s="79"/>
      <c r="AR46" s="79"/>
      <c r="AS46" s="79"/>
      <c r="AT46" s="79"/>
      <c r="AU46" s="79"/>
      <c r="AV46" s="79"/>
      <c r="AW46" s="79"/>
      <c r="AX46" s="79"/>
      <c r="AY46" s="43"/>
      <c r="AZ46" s="43"/>
      <c r="BA46" s="43"/>
      <c r="BB46" s="59"/>
      <c r="BC46" s="56"/>
      <c r="BD46" s="56"/>
      <c r="BE46" s="56"/>
      <c r="BF46" s="56"/>
      <c r="BG46" s="56"/>
      <c r="BH46" s="57"/>
      <c r="BI46" s="56"/>
    </row>
    <row r="47" spans="2:64" ht="12" customHeight="1" x14ac:dyDescent="0.3">
      <c r="B47" s="107"/>
      <c r="G47" s="56"/>
      <c r="H47" s="59"/>
      <c r="I47" s="59"/>
      <c r="J47" s="59"/>
      <c r="K47" s="59"/>
      <c r="L47" s="59"/>
      <c r="M47" s="59"/>
      <c r="N47" s="59"/>
      <c r="O47" s="59"/>
      <c r="P47" s="48"/>
      <c r="Q47" s="61"/>
      <c r="R47" s="61"/>
      <c r="S47" s="61"/>
      <c r="T47" s="61"/>
      <c r="U47" s="61"/>
      <c r="V47" s="61"/>
      <c r="W47" s="61"/>
      <c r="X47" s="61"/>
      <c r="Y47" s="61"/>
      <c r="Z47" s="43"/>
      <c r="AA47" s="43"/>
      <c r="AB47" s="43"/>
      <c r="AC47" s="48"/>
      <c r="AD47" s="48"/>
      <c r="AE47" s="48"/>
      <c r="AF47" s="48"/>
      <c r="AG47" s="48"/>
      <c r="AH47" s="43"/>
      <c r="AI47" s="43"/>
      <c r="AJ47" s="79"/>
      <c r="AK47" s="79"/>
      <c r="AL47" s="79"/>
      <c r="AM47" s="79"/>
      <c r="AN47" s="79"/>
      <c r="AO47" s="79"/>
      <c r="AP47" s="79"/>
      <c r="AQ47" s="79"/>
      <c r="AR47" s="79"/>
      <c r="AS47" s="79"/>
      <c r="AT47" s="79"/>
      <c r="AU47" s="79"/>
      <c r="AV47" s="79"/>
      <c r="AW47" s="79"/>
      <c r="AX47" s="79"/>
      <c r="AY47" s="43"/>
      <c r="AZ47" s="43"/>
      <c r="BA47" s="43"/>
      <c r="BB47" s="59"/>
      <c r="BC47" s="56"/>
      <c r="BD47" s="56"/>
      <c r="BE47" s="56"/>
      <c r="BF47" s="56"/>
      <c r="BG47" s="56"/>
      <c r="BH47" s="57"/>
      <c r="BI47" s="56"/>
    </row>
    <row r="48" spans="2:64" ht="12" customHeight="1" x14ac:dyDescent="0.3">
      <c r="B48" s="107"/>
      <c r="G48" s="38"/>
      <c r="H48" s="43"/>
      <c r="I48" s="43"/>
      <c r="J48" s="43"/>
      <c r="K48" s="43"/>
      <c r="L48" s="43"/>
      <c r="M48" s="43"/>
      <c r="N48" s="48"/>
      <c r="O48" s="48"/>
      <c r="P48" s="48"/>
      <c r="Q48" s="40"/>
      <c r="R48" s="40"/>
      <c r="S48" s="40"/>
      <c r="T48" s="40"/>
      <c r="U48" s="40"/>
      <c r="V48" s="40"/>
      <c r="W48" s="40"/>
      <c r="X48" s="40"/>
      <c r="Y48" s="40"/>
      <c r="Z48" s="48"/>
      <c r="AA48" s="48"/>
      <c r="AB48" s="48"/>
      <c r="AC48" s="48"/>
      <c r="AD48" s="48"/>
      <c r="AE48" s="48"/>
      <c r="AF48" s="48"/>
      <c r="AG48" s="48"/>
      <c r="AH48" s="43"/>
      <c r="AI48" s="43"/>
      <c r="AJ48" s="61"/>
      <c r="AK48" s="61"/>
      <c r="AL48" s="61"/>
      <c r="AM48" s="61"/>
      <c r="AN48" s="61"/>
      <c r="AO48" s="61"/>
      <c r="AP48" s="61"/>
      <c r="AQ48" s="61"/>
      <c r="AR48" s="61"/>
      <c r="AS48" s="61"/>
      <c r="AT48" s="61"/>
      <c r="AU48" s="61"/>
      <c r="AV48" s="61"/>
      <c r="AW48" s="61"/>
      <c r="AX48" s="61"/>
      <c r="AY48" s="43"/>
      <c r="AZ48" s="43"/>
      <c r="BA48" s="43"/>
      <c r="BB48" s="43"/>
      <c r="BC48" s="38"/>
      <c r="BD48" s="38"/>
      <c r="BE48" s="38"/>
      <c r="BF48" s="38"/>
      <c r="BG48" s="38"/>
      <c r="BH48" s="49"/>
      <c r="BI48" s="38"/>
    </row>
    <row r="49" spans="2:61" ht="12" customHeight="1" x14ac:dyDescent="0.3">
      <c r="B49" s="107"/>
      <c r="G49" s="38"/>
      <c r="H49" s="60"/>
      <c r="I49" s="60"/>
      <c r="J49" s="60"/>
      <c r="K49" s="60"/>
      <c r="L49" s="60"/>
      <c r="M49" s="60"/>
      <c r="N49" s="48"/>
      <c r="O49" s="48"/>
      <c r="P49" s="48"/>
      <c r="Q49" s="38"/>
      <c r="R49" s="38"/>
      <c r="S49" s="38"/>
      <c r="T49" s="38"/>
      <c r="U49" s="38"/>
      <c r="V49" s="37"/>
      <c r="W49" s="37"/>
      <c r="X49" s="37"/>
      <c r="Y49" s="37"/>
      <c r="Z49" s="43"/>
      <c r="AA49" s="43"/>
      <c r="AB49" s="43"/>
      <c r="AC49" s="48"/>
      <c r="AD49" s="48"/>
      <c r="AE49" s="48"/>
      <c r="AF49" s="48"/>
      <c r="AG49" s="48"/>
      <c r="AH49" s="61"/>
      <c r="AI49" s="61"/>
      <c r="AJ49" s="61"/>
      <c r="AK49" s="61"/>
      <c r="AL49" s="61"/>
      <c r="AM49" s="61"/>
      <c r="AN49" s="61"/>
      <c r="AO49" s="61"/>
      <c r="AP49" s="61"/>
      <c r="AQ49" s="61"/>
      <c r="AR49" s="61"/>
      <c r="AS49" s="61"/>
      <c r="AT49" s="61"/>
      <c r="AU49" s="61"/>
      <c r="AV49" s="61"/>
      <c r="AW49" s="61"/>
      <c r="AX49" s="61"/>
      <c r="AY49" s="61"/>
      <c r="AZ49" s="61"/>
      <c r="BA49" s="61"/>
      <c r="BB49" s="60"/>
      <c r="BC49" s="38"/>
      <c r="BD49" s="38"/>
      <c r="BE49" s="38"/>
      <c r="BF49" s="38"/>
      <c r="BG49" s="38"/>
      <c r="BH49" s="49"/>
      <c r="BI49" s="38"/>
    </row>
    <row r="50" spans="2:61" ht="12" customHeight="1" thickBot="1" x14ac:dyDescent="0.35">
      <c r="B50" s="107"/>
      <c r="G50" s="38"/>
      <c r="H50" s="43"/>
      <c r="I50" s="43"/>
      <c r="J50" s="43"/>
      <c r="K50" s="43"/>
      <c r="L50" s="43"/>
      <c r="M50" s="43"/>
      <c r="N50" s="43"/>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3"/>
      <c r="AZ50" s="43"/>
      <c r="BA50" s="43"/>
      <c r="BB50" s="43"/>
      <c r="BC50" s="38"/>
      <c r="BD50" s="38"/>
      <c r="BE50" s="38"/>
      <c r="BF50" s="38"/>
      <c r="BG50" s="38"/>
      <c r="BH50" s="49"/>
      <c r="BI50" s="38"/>
    </row>
    <row r="51" spans="2:61" ht="12" customHeight="1" thickTop="1" x14ac:dyDescent="0.3">
      <c r="B51" s="107"/>
      <c r="C51" s="557" t="str">
        <f>HLOOKUP(Language!$B$2,Language!$C$12:$H$656,168)</f>
        <v>Method</v>
      </c>
      <c r="D51" s="558"/>
      <c r="E51" s="558"/>
      <c r="F51" s="558"/>
      <c r="G51" s="558"/>
      <c r="H51" s="559"/>
      <c r="I51" s="23"/>
      <c r="J51" s="23"/>
      <c r="K51" s="23"/>
      <c r="L51" s="557" t="str">
        <f>HLOOKUP(Language!$B$2,Language!$C$12:$H$656,169)</f>
        <v>Material</v>
      </c>
      <c r="M51" s="558"/>
      <c r="N51" s="558"/>
      <c r="O51" s="558"/>
      <c r="P51" s="558"/>
      <c r="Q51" s="559"/>
      <c r="R51" s="12"/>
      <c r="S51" s="110"/>
      <c r="T51" s="12"/>
      <c r="U51" s="557" t="str">
        <f>HLOOKUP(Language!$B$2,Language!$C$12:$H$656,170)</f>
        <v>Measurement</v>
      </c>
      <c r="V51" s="558"/>
      <c r="W51" s="558"/>
      <c r="X51" s="558"/>
      <c r="Y51" s="558"/>
      <c r="Z51" s="559"/>
      <c r="AA51"/>
      <c r="AB51" s="12"/>
      <c r="AC51" s="12"/>
      <c r="AD51" s="12"/>
      <c r="AE51" s="12"/>
      <c r="AF51" s="12"/>
      <c r="AG51" s="557" t="str">
        <f>HLOOKUP(Language!$B$2,Language!$C$12:$H$656,168)</f>
        <v>Method</v>
      </c>
      <c r="AH51" s="558"/>
      <c r="AI51" s="558"/>
      <c r="AJ51" s="558"/>
      <c r="AK51" s="558"/>
      <c r="AL51" s="559"/>
      <c r="AM51" s="30"/>
      <c r="AN51" s="30"/>
      <c r="AO51" s="30"/>
      <c r="AP51" s="557" t="str">
        <f>HLOOKUP(Language!$B$2,Language!$C$12:$H$656,169)</f>
        <v>Material</v>
      </c>
      <c r="AQ51" s="558"/>
      <c r="AR51" s="558"/>
      <c r="AS51" s="558"/>
      <c r="AT51" s="558"/>
      <c r="AU51" s="559"/>
      <c r="AV51" s="12"/>
      <c r="AW51" s="12"/>
      <c r="AX51" s="12"/>
      <c r="AY51" s="557" t="str">
        <f>HLOOKUP(Language!$B$2,Language!$C$12:$H$656,170)</f>
        <v>Measurement</v>
      </c>
      <c r="AZ51" s="558"/>
      <c r="BA51" s="558"/>
      <c r="BB51" s="558"/>
      <c r="BC51" s="558"/>
      <c r="BD51" s="559"/>
      <c r="BE51" s="12"/>
      <c r="BF51" s="12"/>
      <c r="BG51" s="6"/>
      <c r="BH51" s="5"/>
      <c r="BI51" s="6"/>
    </row>
    <row r="52" spans="2:61" ht="12" customHeight="1" thickBot="1" x14ac:dyDescent="0.35">
      <c r="B52" s="107"/>
      <c r="C52" s="560"/>
      <c r="D52" s="561"/>
      <c r="E52" s="561"/>
      <c r="F52" s="561"/>
      <c r="G52" s="561"/>
      <c r="H52" s="562"/>
      <c r="I52" s="30"/>
      <c r="J52" s="30"/>
      <c r="K52" s="30"/>
      <c r="L52" s="560"/>
      <c r="M52" s="561"/>
      <c r="N52" s="561"/>
      <c r="O52" s="561"/>
      <c r="P52" s="561"/>
      <c r="Q52" s="562"/>
      <c r="R52" s="15"/>
      <c r="S52" s="15"/>
      <c r="T52" s="15"/>
      <c r="U52" s="560"/>
      <c r="V52" s="561"/>
      <c r="W52" s="561"/>
      <c r="X52" s="561"/>
      <c r="Y52" s="561"/>
      <c r="Z52" s="562"/>
      <c r="AA52"/>
      <c r="AB52" s="30"/>
      <c r="AC52" s="30"/>
      <c r="AD52" s="15"/>
      <c r="AE52" s="15"/>
      <c r="AF52" s="15"/>
      <c r="AG52" s="560"/>
      <c r="AH52" s="561"/>
      <c r="AI52" s="561"/>
      <c r="AJ52" s="561"/>
      <c r="AK52" s="561"/>
      <c r="AL52" s="562"/>
      <c r="AM52" s="30"/>
      <c r="AN52" s="30"/>
      <c r="AO52" s="30"/>
      <c r="AP52" s="560"/>
      <c r="AQ52" s="561"/>
      <c r="AR52" s="561"/>
      <c r="AS52" s="561"/>
      <c r="AT52" s="561"/>
      <c r="AU52" s="562"/>
      <c r="AV52" s="15"/>
      <c r="AW52" s="15"/>
      <c r="AX52" s="15"/>
      <c r="AY52" s="560"/>
      <c r="AZ52" s="561"/>
      <c r="BA52" s="561"/>
      <c r="BB52" s="561"/>
      <c r="BC52" s="561"/>
      <c r="BD52" s="562"/>
      <c r="BE52" s="12"/>
      <c r="BF52" s="12"/>
      <c r="BG52" s="6"/>
      <c r="BH52" s="5"/>
      <c r="BI52" s="6"/>
    </row>
    <row r="53" spans="2:61" ht="12" customHeight="1" thickTop="1" x14ac:dyDescent="0.3">
      <c r="B53" s="571">
        <v>1</v>
      </c>
      <c r="C53" s="581"/>
      <c r="D53" s="581"/>
      <c r="E53" s="581"/>
      <c r="F53" s="581"/>
      <c r="G53" s="581"/>
      <c r="H53" s="582"/>
      <c r="I53" s="12"/>
      <c r="J53" s="12"/>
      <c r="K53" s="556">
        <v>1</v>
      </c>
      <c r="L53" s="567"/>
      <c r="M53" s="567"/>
      <c r="N53" s="567"/>
      <c r="O53" s="567"/>
      <c r="P53" s="567"/>
      <c r="Q53" s="568"/>
      <c r="R53" s="12"/>
      <c r="S53" s="12"/>
      <c r="T53" s="556">
        <v>1</v>
      </c>
      <c r="U53" s="567"/>
      <c r="V53" s="567"/>
      <c r="W53" s="567"/>
      <c r="X53" s="567"/>
      <c r="Y53" s="567"/>
      <c r="Z53" s="568"/>
      <c r="AA53"/>
      <c r="AB53" s="12"/>
      <c r="AC53" s="12"/>
      <c r="AD53" s="12"/>
      <c r="AE53" s="12"/>
      <c r="AF53" s="556">
        <v>1</v>
      </c>
      <c r="AG53" s="581"/>
      <c r="AH53" s="581"/>
      <c r="AI53" s="581"/>
      <c r="AJ53" s="581"/>
      <c r="AK53" s="581"/>
      <c r="AL53" s="582"/>
      <c r="AM53" s="12"/>
      <c r="AN53" s="12"/>
      <c r="AO53" s="556">
        <v>1</v>
      </c>
      <c r="AP53" s="581"/>
      <c r="AQ53" s="581"/>
      <c r="AR53" s="581"/>
      <c r="AS53" s="581"/>
      <c r="AT53" s="581"/>
      <c r="AU53" s="582"/>
      <c r="AV53" s="12"/>
      <c r="AW53" s="12"/>
      <c r="AX53" s="556">
        <v>1</v>
      </c>
      <c r="AY53" s="581"/>
      <c r="AZ53" s="581"/>
      <c r="BA53" s="581"/>
      <c r="BB53" s="581"/>
      <c r="BC53" s="581"/>
      <c r="BD53" s="582"/>
      <c r="BG53" s="6"/>
      <c r="BH53" s="5"/>
      <c r="BI53" s="6"/>
    </row>
    <row r="54" spans="2:61" ht="12" customHeight="1" x14ac:dyDescent="0.3">
      <c r="B54" s="571"/>
      <c r="C54" s="565"/>
      <c r="D54" s="565"/>
      <c r="E54" s="565"/>
      <c r="F54" s="565"/>
      <c r="G54" s="565"/>
      <c r="H54" s="566"/>
      <c r="I54" s="12"/>
      <c r="J54" s="12"/>
      <c r="K54" s="556"/>
      <c r="L54" s="565"/>
      <c r="M54" s="565"/>
      <c r="N54" s="565"/>
      <c r="O54" s="565"/>
      <c r="P54" s="565"/>
      <c r="Q54" s="566"/>
      <c r="R54" s="12"/>
      <c r="S54" s="12"/>
      <c r="T54" s="556"/>
      <c r="U54" s="565"/>
      <c r="V54" s="565"/>
      <c r="W54" s="565"/>
      <c r="X54" s="565"/>
      <c r="Y54" s="565"/>
      <c r="Z54" s="566"/>
      <c r="AA54"/>
      <c r="AB54" s="12"/>
      <c r="AC54" s="12"/>
      <c r="AD54" s="12"/>
      <c r="AE54" s="12"/>
      <c r="AF54" s="556"/>
      <c r="AG54" s="565"/>
      <c r="AH54" s="565"/>
      <c r="AI54" s="565"/>
      <c r="AJ54" s="565"/>
      <c r="AK54" s="565"/>
      <c r="AL54" s="566"/>
      <c r="AM54" s="12"/>
      <c r="AN54" s="12"/>
      <c r="AO54" s="556"/>
      <c r="AP54" s="565"/>
      <c r="AQ54" s="565"/>
      <c r="AR54" s="565"/>
      <c r="AS54" s="565"/>
      <c r="AT54" s="565"/>
      <c r="AU54" s="566"/>
      <c r="AV54" s="12"/>
      <c r="AW54" s="12"/>
      <c r="AX54" s="556"/>
      <c r="AY54" s="565"/>
      <c r="AZ54" s="565"/>
      <c r="BA54" s="565"/>
      <c r="BB54" s="565"/>
      <c r="BC54" s="565"/>
      <c r="BD54" s="566"/>
      <c r="BG54" s="6"/>
      <c r="BH54" s="5"/>
      <c r="BI54" s="6"/>
    </row>
    <row r="55" spans="2:61" ht="12" customHeight="1" x14ac:dyDescent="0.3">
      <c r="B55" s="571">
        <v>2</v>
      </c>
      <c r="C55" s="563"/>
      <c r="D55" s="563"/>
      <c r="E55" s="563"/>
      <c r="F55" s="563"/>
      <c r="G55" s="563"/>
      <c r="H55" s="564"/>
      <c r="I55" s="12"/>
      <c r="J55" s="12"/>
      <c r="K55" s="556">
        <v>2</v>
      </c>
      <c r="L55" s="563"/>
      <c r="M55" s="563"/>
      <c r="N55" s="563"/>
      <c r="O55" s="563"/>
      <c r="P55" s="563"/>
      <c r="Q55" s="564"/>
      <c r="R55" s="12"/>
      <c r="S55" s="12"/>
      <c r="T55" s="556">
        <v>2</v>
      </c>
      <c r="U55" s="563"/>
      <c r="V55" s="563"/>
      <c r="W55" s="563"/>
      <c r="X55" s="563"/>
      <c r="Y55" s="563"/>
      <c r="Z55" s="564"/>
      <c r="AA55"/>
      <c r="AB55" s="12"/>
      <c r="AC55" s="12"/>
      <c r="AD55" s="12"/>
      <c r="AE55" s="12"/>
      <c r="AF55" s="556">
        <v>2</v>
      </c>
      <c r="AG55" s="563"/>
      <c r="AH55" s="563"/>
      <c r="AI55" s="563"/>
      <c r="AJ55" s="563"/>
      <c r="AK55" s="563"/>
      <c r="AL55" s="564"/>
      <c r="AM55" s="12"/>
      <c r="AN55" s="12"/>
      <c r="AO55" s="556">
        <v>2</v>
      </c>
      <c r="AP55" s="563"/>
      <c r="AQ55" s="563"/>
      <c r="AR55" s="563"/>
      <c r="AS55" s="563"/>
      <c r="AT55" s="563"/>
      <c r="AU55" s="564"/>
      <c r="AV55" s="12"/>
      <c r="AW55" s="12"/>
      <c r="AX55" s="556">
        <v>2</v>
      </c>
      <c r="AY55" s="563"/>
      <c r="AZ55" s="563"/>
      <c r="BA55" s="563"/>
      <c r="BB55" s="563"/>
      <c r="BC55" s="563"/>
      <c r="BD55" s="564"/>
      <c r="BG55" s="6"/>
      <c r="BH55" s="5"/>
      <c r="BI55" s="6"/>
    </row>
    <row r="56" spans="2:61" ht="12" customHeight="1" x14ac:dyDescent="0.3">
      <c r="B56" s="571"/>
      <c r="C56" s="565"/>
      <c r="D56" s="565"/>
      <c r="E56" s="565"/>
      <c r="F56" s="565"/>
      <c r="G56" s="565"/>
      <c r="H56" s="566"/>
      <c r="I56" s="12"/>
      <c r="J56" s="12"/>
      <c r="K56" s="556"/>
      <c r="L56" s="565"/>
      <c r="M56" s="565"/>
      <c r="N56" s="565"/>
      <c r="O56" s="565"/>
      <c r="P56" s="565"/>
      <c r="Q56" s="566"/>
      <c r="R56" s="12"/>
      <c r="S56" s="12"/>
      <c r="T56" s="556"/>
      <c r="U56" s="565"/>
      <c r="V56" s="565"/>
      <c r="W56" s="565"/>
      <c r="X56" s="565"/>
      <c r="Y56" s="565"/>
      <c r="Z56" s="566"/>
      <c r="AA56"/>
      <c r="AB56" s="12"/>
      <c r="AC56" s="12"/>
      <c r="AD56" s="12"/>
      <c r="AE56" s="12"/>
      <c r="AF56" s="556"/>
      <c r="AG56" s="565"/>
      <c r="AH56" s="565"/>
      <c r="AI56" s="565"/>
      <c r="AJ56" s="565"/>
      <c r="AK56" s="565"/>
      <c r="AL56" s="566"/>
      <c r="AM56" s="12"/>
      <c r="AN56" s="12"/>
      <c r="AO56" s="556"/>
      <c r="AP56" s="565"/>
      <c r="AQ56" s="565"/>
      <c r="AR56" s="565"/>
      <c r="AS56" s="565"/>
      <c r="AT56" s="565"/>
      <c r="AU56" s="566"/>
      <c r="AV56" s="12"/>
      <c r="AW56" s="12"/>
      <c r="AX56" s="556"/>
      <c r="AY56" s="565"/>
      <c r="AZ56" s="565"/>
      <c r="BA56" s="565"/>
      <c r="BB56" s="565"/>
      <c r="BC56" s="565"/>
      <c r="BD56" s="566"/>
      <c r="BG56" s="6"/>
      <c r="BH56" s="5"/>
      <c r="BI56" s="6"/>
    </row>
    <row r="57" spans="2:61" ht="12" customHeight="1" x14ac:dyDescent="0.3">
      <c r="B57" s="571">
        <v>3</v>
      </c>
      <c r="C57" s="563"/>
      <c r="D57" s="563"/>
      <c r="E57" s="563"/>
      <c r="F57" s="563"/>
      <c r="G57" s="563"/>
      <c r="H57" s="564"/>
      <c r="I57" s="15"/>
      <c r="J57" s="15"/>
      <c r="K57" s="556">
        <v>3</v>
      </c>
      <c r="L57" s="563"/>
      <c r="M57" s="563"/>
      <c r="N57" s="563"/>
      <c r="O57" s="563"/>
      <c r="P57" s="563"/>
      <c r="Q57" s="564"/>
      <c r="R57" s="15"/>
      <c r="S57" s="15"/>
      <c r="T57" s="556">
        <v>3</v>
      </c>
      <c r="U57" s="563"/>
      <c r="V57" s="563"/>
      <c r="W57" s="563"/>
      <c r="X57" s="563"/>
      <c r="Y57" s="563"/>
      <c r="Z57" s="564"/>
      <c r="AA57"/>
      <c r="AB57" s="15"/>
      <c r="AC57" s="15"/>
      <c r="AD57" s="15"/>
      <c r="AE57" s="15"/>
      <c r="AF57" s="556">
        <v>3</v>
      </c>
      <c r="AG57" s="563"/>
      <c r="AH57" s="563"/>
      <c r="AI57" s="563"/>
      <c r="AJ57" s="563"/>
      <c r="AK57" s="563"/>
      <c r="AL57" s="564"/>
      <c r="AM57" s="15"/>
      <c r="AN57" s="15"/>
      <c r="AO57" s="556">
        <v>3</v>
      </c>
      <c r="AP57" s="563"/>
      <c r="AQ57" s="563"/>
      <c r="AR57" s="563"/>
      <c r="AS57" s="563"/>
      <c r="AT57" s="563"/>
      <c r="AU57" s="564"/>
      <c r="AV57" s="15"/>
      <c r="AW57" s="15"/>
      <c r="AX57" s="556">
        <v>3</v>
      </c>
      <c r="AY57" s="563"/>
      <c r="AZ57" s="563"/>
      <c r="BA57" s="563"/>
      <c r="BB57" s="563"/>
      <c r="BC57" s="563"/>
      <c r="BD57" s="564"/>
      <c r="BG57" s="6"/>
      <c r="BH57" s="5"/>
      <c r="BI57" s="6"/>
    </row>
    <row r="58" spans="2:61" ht="12" customHeight="1" x14ac:dyDescent="0.3">
      <c r="B58" s="571"/>
      <c r="C58" s="565"/>
      <c r="D58" s="565"/>
      <c r="E58" s="565"/>
      <c r="F58" s="565"/>
      <c r="G58" s="565"/>
      <c r="H58" s="566"/>
      <c r="I58" s="12"/>
      <c r="J58" s="12"/>
      <c r="K58" s="556"/>
      <c r="L58" s="565"/>
      <c r="M58" s="565"/>
      <c r="N58" s="565"/>
      <c r="O58" s="565"/>
      <c r="P58" s="565"/>
      <c r="Q58" s="566"/>
      <c r="R58" s="12"/>
      <c r="S58" s="12"/>
      <c r="T58" s="556"/>
      <c r="U58" s="565"/>
      <c r="V58" s="565"/>
      <c r="W58" s="565"/>
      <c r="X58" s="565"/>
      <c r="Y58" s="565"/>
      <c r="Z58" s="566"/>
      <c r="AA58"/>
      <c r="AB58" s="12"/>
      <c r="AC58" s="12"/>
      <c r="AD58" s="12"/>
      <c r="AE58" s="12"/>
      <c r="AF58" s="556"/>
      <c r="AG58" s="565"/>
      <c r="AH58" s="565"/>
      <c r="AI58" s="565"/>
      <c r="AJ58" s="565"/>
      <c r="AK58" s="565"/>
      <c r="AL58" s="566"/>
      <c r="AM58" s="12"/>
      <c r="AN58" s="12"/>
      <c r="AO58" s="556"/>
      <c r="AP58" s="565"/>
      <c r="AQ58" s="565"/>
      <c r="AR58" s="565"/>
      <c r="AS58" s="565"/>
      <c r="AT58" s="565"/>
      <c r="AU58" s="566"/>
      <c r="AV58" s="12"/>
      <c r="AW58" s="12"/>
      <c r="AX58" s="556"/>
      <c r="AY58" s="565"/>
      <c r="AZ58" s="565"/>
      <c r="BA58" s="565"/>
      <c r="BB58" s="565"/>
      <c r="BC58" s="565"/>
      <c r="BD58" s="566"/>
      <c r="BG58" s="6"/>
      <c r="BH58" s="5"/>
      <c r="BI58" s="6"/>
    </row>
    <row r="59" spans="2:61" ht="12" customHeight="1" x14ac:dyDescent="0.3">
      <c r="B59" s="571">
        <v>4</v>
      </c>
      <c r="C59" s="563"/>
      <c r="D59" s="563"/>
      <c r="E59" s="563"/>
      <c r="F59" s="563"/>
      <c r="G59" s="563"/>
      <c r="H59" s="564"/>
      <c r="I59" s="15"/>
      <c r="J59" s="15"/>
      <c r="K59" s="556">
        <v>4</v>
      </c>
      <c r="L59" s="563"/>
      <c r="M59" s="563"/>
      <c r="N59" s="563"/>
      <c r="O59" s="563"/>
      <c r="P59" s="563"/>
      <c r="Q59" s="564"/>
      <c r="R59"/>
      <c r="S59"/>
      <c r="T59" s="556">
        <v>4</v>
      </c>
      <c r="U59" s="563"/>
      <c r="V59" s="563"/>
      <c r="W59" s="563"/>
      <c r="X59" s="563"/>
      <c r="Y59" s="563"/>
      <c r="Z59" s="564"/>
      <c r="AA59"/>
      <c r="AB59" s="15"/>
      <c r="AC59" s="15"/>
      <c r="AD59" s="15"/>
      <c r="AE59" s="15"/>
      <c r="AF59" s="556">
        <v>4</v>
      </c>
      <c r="AG59" s="563"/>
      <c r="AH59" s="563"/>
      <c r="AI59" s="563"/>
      <c r="AJ59" s="563"/>
      <c r="AK59" s="563"/>
      <c r="AL59" s="564"/>
      <c r="AM59" s="12"/>
      <c r="AN59" s="12"/>
      <c r="AO59" s="556">
        <v>4</v>
      </c>
      <c r="AP59" s="563"/>
      <c r="AQ59" s="563"/>
      <c r="AR59" s="563"/>
      <c r="AS59" s="563"/>
      <c r="AT59" s="563"/>
      <c r="AU59" s="564"/>
      <c r="AV59" s="15"/>
      <c r="AW59" s="15"/>
      <c r="AX59" s="556">
        <v>4</v>
      </c>
      <c r="AY59" s="563"/>
      <c r="AZ59" s="563"/>
      <c r="BA59" s="563"/>
      <c r="BB59" s="563"/>
      <c r="BC59" s="563"/>
      <c r="BD59" s="564"/>
      <c r="BG59" s="6"/>
      <c r="BH59" s="5"/>
      <c r="BI59" s="6"/>
    </row>
    <row r="60" spans="2:61" ht="12" customHeight="1" x14ac:dyDescent="0.3">
      <c r="B60" s="571"/>
      <c r="C60" s="565"/>
      <c r="D60" s="565"/>
      <c r="E60" s="565"/>
      <c r="F60" s="565"/>
      <c r="G60" s="565"/>
      <c r="H60" s="566"/>
      <c r="I60" s="44"/>
      <c r="J60" s="44"/>
      <c r="K60" s="556"/>
      <c r="L60" s="565"/>
      <c r="M60" s="565"/>
      <c r="N60" s="565"/>
      <c r="O60" s="565"/>
      <c r="P60" s="565"/>
      <c r="Q60" s="566"/>
      <c r="R60"/>
      <c r="S60"/>
      <c r="T60" s="556"/>
      <c r="U60" s="565"/>
      <c r="V60" s="565"/>
      <c r="W60" s="565"/>
      <c r="X60" s="565"/>
      <c r="Y60" s="565"/>
      <c r="Z60" s="566"/>
      <c r="AA60"/>
      <c r="AB60" s="44"/>
      <c r="AC60" s="44"/>
      <c r="AD60" s="44"/>
      <c r="AE60" s="44"/>
      <c r="AF60" s="556"/>
      <c r="AG60" s="565"/>
      <c r="AH60" s="565"/>
      <c r="AI60" s="565"/>
      <c r="AJ60" s="565"/>
      <c r="AK60" s="565"/>
      <c r="AL60" s="566"/>
      <c r="AM60" s="45"/>
      <c r="AN60" s="45"/>
      <c r="AO60" s="556"/>
      <c r="AP60" s="565"/>
      <c r="AQ60" s="565"/>
      <c r="AR60" s="565"/>
      <c r="AS60" s="565"/>
      <c r="AT60" s="565"/>
      <c r="AU60" s="566"/>
      <c r="AV60" s="44"/>
      <c r="AW60" s="44"/>
      <c r="AX60" s="556"/>
      <c r="AY60" s="565"/>
      <c r="AZ60" s="565"/>
      <c r="BA60" s="565"/>
      <c r="BB60" s="565"/>
      <c r="BC60" s="565"/>
      <c r="BD60" s="566"/>
      <c r="BG60" s="6"/>
      <c r="BH60" s="5"/>
      <c r="BI60" s="6"/>
    </row>
    <row r="61" spans="2:61" ht="12" customHeight="1" x14ac:dyDescent="0.3">
      <c r="B61" s="571">
        <v>5</v>
      </c>
      <c r="C61" s="563"/>
      <c r="D61" s="563"/>
      <c r="E61" s="563"/>
      <c r="F61" s="563"/>
      <c r="G61" s="563"/>
      <c r="H61" s="564"/>
      <c r="I61" s="30"/>
      <c r="J61" s="30"/>
      <c r="K61" s="556">
        <v>5</v>
      </c>
      <c r="L61" s="563"/>
      <c r="M61" s="563"/>
      <c r="N61" s="563"/>
      <c r="O61" s="563"/>
      <c r="P61" s="563"/>
      <c r="Q61" s="564"/>
      <c r="R61"/>
      <c r="S61"/>
      <c r="T61" s="556">
        <v>5</v>
      </c>
      <c r="U61" s="563"/>
      <c r="V61" s="563"/>
      <c r="W61" s="563"/>
      <c r="X61" s="563"/>
      <c r="Y61" s="563"/>
      <c r="Z61" s="564"/>
      <c r="AA61"/>
      <c r="AB61" s="14"/>
      <c r="AC61" s="14"/>
      <c r="AD61" s="14"/>
      <c r="AE61" s="14"/>
      <c r="AF61" s="556">
        <v>5</v>
      </c>
      <c r="AG61" s="563"/>
      <c r="AH61" s="563"/>
      <c r="AI61" s="563"/>
      <c r="AJ61" s="563"/>
      <c r="AK61" s="563"/>
      <c r="AL61" s="564"/>
      <c r="AM61" s="14"/>
      <c r="AN61" s="14"/>
      <c r="AO61" s="556">
        <v>5</v>
      </c>
      <c r="AP61" s="563"/>
      <c r="AQ61" s="563"/>
      <c r="AR61" s="563"/>
      <c r="AS61" s="563"/>
      <c r="AT61" s="563"/>
      <c r="AU61" s="564"/>
      <c r="AV61" s="30"/>
      <c r="AW61" s="30"/>
      <c r="AX61" s="556">
        <v>5</v>
      </c>
      <c r="AY61" s="563"/>
      <c r="AZ61" s="563"/>
      <c r="BA61" s="563"/>
      <c r="BB61" s="563"/>
      <c r="BC61" s="563"/>
      <c r="BD61" s="564"/>
      <c r="BG61" s="6"/>
      <c r="BH61" s="5"/>
      <c r="BI61" s="6"/>
    </row>
    <row r="62" spans="2:61" ht="12" customHeight="1" x14ac:dyDescent="0.3">
      <c r="B62" s="571"/>
      <c r="C62" s="565"/>
      <c r="D62" s="565"/>
      <c r="E62" s="565"/>
      <c r="F62" s="565"/>
      <c r="G62" s="565"/>
      <c r="H62" s="566"/>
      <c r="I62" s="30"/>
      <c r="J62" s="30"/>
      <c r="K62" s="556"/>
      <c r="L62" s="565"/>
      <c r="M62" s="565"/>
      <c r="N62" s="565"/>
      <c r="O62" s="565"/>
      <c r="P62" s="565"/>
      <c r="Q62" s="566"/>
      <c r="R62" s="30"/>
      <c r="S62" s="30"/>
      <c r="T62" s="556"/>
      <c r="U62" s="565"/>
      <c r="V62" s="565"/>
      <c r="W62" s="565"/>
      <c r="X62" s="565"/>
      <c r="Y62" s="565"/>
      <c r="Z62" s="566"/>
      <c r="AA62"/>
      <c r="AB62" s="30"/>
      <c r="AC62" s="30"/>
      <c r="AD62" s="30"/>
      <c r="AE62" s="30"/>
      <c r="AF62" s="556"/>
      <c r="AG62" s="565"/>
      <c r="AH62" s="565"/>
      <c r="AI62" s="565"/>
      <c r="AJ62" s="565"/>
      <c r="AK62" s="565"/>
      <c r="AL62" s="566"/>
      <c r="AM62" s="46"/>
      <c r="AN62" s="46"/>
      <c r="AO62" s="556"/>
      <c r="AP62" s="565"/>
      <c r="AQ62" s="565"/>
      <c r="AR62" s="565"/>
      <c r="AS62" s="565"/>
      <c r="AT62" s="565"/>
      <c r="AU62" s="566"/>
      <c r="AV62" s="30"/>
      <c r="AW62" s="30"/>
      <c r="AX62" s="556"/>
      <c r="AY62" s="565"/>
      <c r="AZ62" s="565"/>
      <c r="BA62" s="565"/>
      <c r="BB62" s="565"/>
      <c r="BC62" s="565"/>
      <c r="BD62" s="566"/>
      <c r="BG62" s="6"/>
      <c r="BH62" s="5"/>
      <c r="BI62" s="6"/>
    </row>
    <row r="63" spans="2:61" ht="12" customHeight="1" x14ac:dyDescent="0.3">
      <c r="B63" s="571">
        <v>6</v>
      </c>
      <c r="C63" s="563"/>
      <c r="D63" s="563"/>
      <c r="E63" s="563"/>
      <c r="F63" s="563"/>
      <c r="G63" s="563"/>
      <c r="H63" s="564"/>
      <c r="I63" s="12"/>
      <c r="J63" s="12"/>
      <c r="K63" s="556">
        <v>6</v>
      </c>
      <c r="L63" s="563"/>
      <c r="M63" s="563"/>
      <c r="N63" s="563"/>
      <c r="O63" s="563"/>
      <c r="P63" s="563"/>
      <c r="Q63" s="564"/>
      <c r="R63" s="12"/>
      <c r="S63" s="12"/>
      <c r="T63" s="556">
        <v>6</v>
      </c>
      <c r="U63" s="563"/>
      <c r="V63" s="563"/>
      <c r="W63" s="563"/>
      <c r="X63" s="563"/>
      <c r="Y63" s="563"/>
      <c r="Z63" s="564"/>
      <c r="AA63"/>
      <c r="AB63" s="12"/>
      <c r="AC63" s="12"/>
      <c r="AD63" s="12"/>
      <c r="AE63" s="12"/>
      <c r="AF63" s="556">
        <v>6</v>
      </c>
      <c r="AG63" s="563"/>
      <c r="AH63" s="563"/>
      <c r="AI63" s="563"/>
      <c r="AJ63" s="563"/>
      <c r="AK63" s="563"/>
      <c r="AL63" s="564"/>
      <c r="AM63" s="12"/>
      <c r="AN63" s="12"/>
      <c r="AO63" s="556">
        <v>6</v>
      </c>
      <c r="AP63" s="563"/>
      <c r="AQ63" s="563"/>
      <c r="AR63" s="563"/>
      <c r="AS63" s="563"/>
      <c r="AT63" s="563"/>
      <c r="AU63" s="564"/>
      <c r="AV63" s="12"/>
      <c r="AW63" s="12"/>
      <c r="AX63" s="556">
        <v>6</v>
      </c>
      <c r="AY63" s="563"/>
      <c r="AZ63" s="563"/>
      <c r="BA63" s="563"/>
      <c r="BB63" s="563"/>
      <c r="BC63" s="563"/>
      <c r="BD63" s="564"/>
      <c r="BG63" s="6"/>
      <c r="BH63" s="5"/>
      <c r="BI63" s="6"/>
    </row>
    <row r="64" spans="2:61" ht="12" customHeight="1" x14ac:dyDescent="0.3">
      <c r="B64" s="571"/>
      <c r="C64" s="565"/>
      <c r="D64" s="565"/>
      <c r="E64" s="565"/>
      <c r="F64" s="565"/>
      <c r="G64" s="565"/>
      <c r="H64" s="566"/>
      <c r="I64" s="42"/>
      <c r="J64" s="42"/>
      <c r="K64" s="556"/>
      <c r="L64" s="565"/>
      <c r="M64" s="565"/>
      <c r="N64" s="565"/>
      <c r="O64" s="565"/>
      <c r="P64" s="565"/>
      <c r="Q64" s="566"/>
      <c r="R64" s="42"/>
      <c r="S64" s="42"/>
      <c r="T64" s="556"/>
      <c r="U64" s="565"/>
      <c r="V64" s="565"/>
      <c r="W64" s="565"/>
      <c r="X64" s="565"/>
      <c r="Y64" s="565"/>
      <c r="Z64" s="566"/>
      <c r="AA64"/>
      <c r="AB64" s="42"/>
      <c r="AC64" s="42"/>
      <c r="AD64" s="42"/>
      <c r="AE64" s="42"/>
      <c r="AF64" s="556"/>
      <c r="AG64" s="565"/>
      <c r="AH64" s="565"/>
      <c r="AI64" s="565"/>
      <c r="AJ64" s="565"/>
      <c r="AK64" s="565"/>
      <c r="AL64" s="566"/>
      <c r="AM64" s="42"/>
      <c r="AN64" s="42"/>
      <c r="AO64" s="556"/>
      <c r="AP64" s="565"/>
      <c r="AQ64" s="565"/>
      <c r="AR64" s="565"/>
      <c r="AS64" s="565"/>
      <c r="AT64" s="565"/>
      <c r="AU64" s="566"/>
      <c r="AV64" s="42"/>
      <c r="AW64" s="42"/>
      <c r="AX64" s="556"/>
      <c r="AY64" s="565"/>
      <c r="AZ64" s="565"/>
      <c r="BA64" s="565"/>
      <c r="BB64" s="565"/>
      <c r="BC64" s="565"/>
      <c r="BD64" s="566"/>
      <c r="BG64" s="6"/>
      <c r="BH64" s="5"/>
      <c r="BI64" s="6"/>
    </row>
    <row r="65" spans="2:61" ht="12" customHeight="1" thickBot="1" x14ac:dyDescent="0.35">
      <c r="B65" s="108"/>
      <c r="C65" s="109"/>
      <c r="D65" s="109"/>
      <c r="E65" s="109"/>
      <c r="F65" s="109"/>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5"/>
      <c r="BI65" s="23"/>
    </row>
    <row r="66" spans="2:61" ht="12" customHeight="1" x14ac:dyDescent="0.3">
      <c r="G66" s="6"/>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6"/>
      <c r="BD66" s="6"/>
      <c r="BE66" s="6"/>
      <c r="BF66" s="6"/>
      <c r="BG66" s="6"/>
      <c r="BH66" s="6"/>
      <c r="BI66" s="6"/>
    </row>
    <row r="67" spans="2:61" ht="12" customHeight="1" x14ac:dyDescent="0.3">
      <c r="G67" s="6"/>
      <c r="H67" s="12"/>
      <c r="AV67" s="12"/>
      <c r="AW67" s="12"/>
      <c r="AX67" s="12"/>
      <c r="AY67" s="12"/>
      <c r="AZ67" s="12"/>
      <c r="BA67" s="12"/>
      <c r="BB67" s="12"/>
      <c r="BC67" s="6"/>
      <c r="BD67" s="6"/>
      <c r="BE67" s="6"/>
      <c r="BF67" s="6"/>
      <c r="BG67" s="6"/>
      <c r="BH67" s="6"/>
      <c r="BI67" s="6"/>
    </row>
    <row r="68" spans="2:61" ht="12" customHeight="1" x14ac:dyDescent="0.3">
      <c r="G68" s="6"/>
      <c r="H68" s="12"/>
      <c r="AV68" s="12"/>
      <c r="AW68" s="12"/>
      <c r="AX68" s="12"/>
      <c r="AY68" s="12"/>
      <c r="AZ68" s="12"/>
      <c r="BA68" s="12"/>
      <c r="BB68" s="12"/>
      <c r="BC68" s="6"/>
      <c r="BD68" s="6"/>
      <c r="BE68" s="6"/>
      <c r="BF68" s="6"/>
      <c r="BG68" s="6"/>
      <c r="BH68" s="6"/>
      <c r="BI68" s="6"/>
    </row>
    <row r="69" spans="2:61" ht="12" customHeight="1" x14ac:dyDescent="0.3">
      <c r="G69" s="6"/>
      <c r="H69" s="12"/>
      <c r="AV69" s="12"/>
      <c r="AW69" s="12"/>
      <c r="AX69" s="12"/>
      <c r="AY69" s="12"/>
      <c r="AZ69" s="12"/>
      <c r="BA69" s="12"/>
      <c r="BB69" s="12"/>
      <c r="BC69" s="6"/>
      <c r="BD69" s="6"/>
      <c r="BE69" s="6"/>
      <c r="BF69" s="6"/>
      <c r="BG69" s="6"/>
      <c r="BH69" s="6"/>
      <c r="BI69" s="6"/>
    </row>
    <row r="70" spans="2:61" ht="12" customHeight="1" x14ac:dyDescent="0.3">
      <c r="G70" s="6"/>
      <c r="H70" s="12"/>
      <c r="AV70" s="12"/>
      <c r="AW70" s="12"/>
      <c r="AX70" s="22"/>
      <c r="AY70" s="22"/>
      <c r="AZ70" s="22"/>
      <c r="BA70" s="22"/>
      <c r="BB70" s="22"/>
      <c r="BC70" s="6"/>
      <c r="BD70" s="6"/>
      <c r="BE70" s="6"/>
      <c r="BF70" s="6"/>
      <c r="BG70" s="6"/>
      <c r="BH70" s="6"/>
      <c r="BI70" s="6"/>
    </row>
    <row r="71" spans="2:61" ht="12" customHeight="1" x14ac:dyDescent="0.3">
      <c r="G71" s="6"/>
      <c r="H71" s="15"/>
      <c r="AV71" s="15"/>
      <c r="AW71" s="15"/>
      <c r="AX71" s="15"/>
      <c r="AY71" s="15"/>
      <c r="AZ71" s="15"/>
      <c r="BA71" s="15"/>
      <c r="BB71" s="15"/>
      <c r="BC71" s="6"/>
      <c r="BD71" s="6"/>
      <c r="BE71" s="6"/>
      <c r="BF71" s="6"/>
      <c r="BG71" s="6"/>
      <c r="BH71" s="6"/>
      <c r="BI71" s="6"/>
    </row>
    <row r="72" spans="2:61" ht="12" customHeight="1" x14ac:dyDescent="0.3">
      <c r="G72" s="6"/>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6"/>
      <c r="BD72" s="6"/>
      <c r="BE72" s="6"/>
      <c r="BF72" s="6"/>
      <c r="BG72" s="6"/>
      <c r="BH72" s="6"/>
      <c r="BI72" s="6"/>
    </row>
    <row r="73" spans="2:61" ht="12" customHeight="1" x14ac:dyDescent="0.3">
      <c r="G73" s="6"/>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6"/>
      <c r="BD73" s="6"/>
      <c r="BE73" s="6"/>
      <c r="BF73" s="6"/>
      <c r="BG73" s="6"/>
      <c r="BH73" s="6"/>
      <c r="BI73" s="6"/>
    </row>
    <row r="74" spans="2:61" ht="12" customHeight="1" x14ac:dyDescent="0.3">
      <c r="G74" s="6"/>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6"/>
      <c r="BD74" s="6"/>
      <c r="BE74" s="6"/>
      <c r="BF74" s="6"/>
      <c r="BG74" s="6"/>
      <c r="BH74" s="6"/>
      <c r="BI74" s="6"/>
    </row>
    <row r="75" spans="2:61" ht="12" customHeight="1" x14ac:dyDescent="0.3">
      <c r="G75" s="6"/>
      <c r="H75" s="15"/>
      <c r="I75" s="15"/>
      <c r="J75" s="15"/>
      <c r="K75" s="15"/>
      <c r="L75" s="15"/>
      <c r="N75" s="12"/>
      <c r="O75" s="12"/>
      <c r="P75" s="6"/>
      <c r="Q75" s="6"/>
      <c r="R75" s="6"/>
      <c r="S75" s="6"/>
      <c r="T75" s="6"/>
      <c r="U75" s="6"/>
      <c r="V75" s="6"/>
      <c r="W75" s="6"/>
      <c r="X75" s="12"/>
      <c r="Y75" s="12"/>
      <c r="Z75" s="12"/>
      <c r="AA75" s="12"/>
      <c r="AB75" s="12"/>
      <c r="AC75" s="6"/>
      <c r="AD75" s="6"/>
      <c r="AE75" s="6"/>
      <c r="AF75" s="6"/>
      <c r="AG75" s="6"/>
      <c r="AH75" s="12"/>
      <c r="AI75" s="12"/>
      <c r="AJ75" s="12"/>
      <c r="AK75" s="12"/>
      <c r="AL75" s="22"/>
      <c r="AM75" s="22"/>
      <c r="AN75" s="22"/>
      <c r="AO75" s="22"/>
      <c r="AP75" s="22"/>
      <c r="AQ75" s="22"/>
      <c r="AR75" s="22"/>
      <c r="AS75" s="22"/>
      <c r="AU75" s="12"/>
      <c r="AV75" s="12"/>
      <c r="AW75" s="12"/>
      <c r="AX75" s="22"/>
      <c r="AY75" s="22"/>
      <c r="AZ75" s="22"/>
      <c r="BA75" s="22"/>
      <c r="BB75" s="22"/>
      <c r="BC75" s="6"/>
      <c r="BD75" s="6"/>
      <c r="BE75" s="6"/>
      <c r="BF75" s="6"/>
      <c r="BG75" s="6"/>
      <c r="BH75" s="6"/>
      <c r="BI75" s="6"/>
    </row>
    <row r="76" spans="2:61" ht="12" customHeight="1" x14ac:dyDescent="0.3">
      <c r="G76" s="6"/>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6"/>
      <c r="BD76" s="6"/>
      <c r="BE76" s="6"/>
      <c r="BF76" s="6"/>
      <c r="BG76" s="6"/>
      <c r="BH76" s="6"/>
      <c r="BI76" s="6"/>
    </row>
    <row r="77" spans="2:61" ht="12" customHeight="1" x14ac:dyDescent="0.3">
      <c r="G77" s="23"/>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23"/>
      <c r="BD77" s="23"/>
      <c r="BE77" s="23"/>
      <c r="BF77" s="23"/>
      <c r="BG77" s="23"/>
      <c r="BH77" s="23"/>
      <c r="BI77" s="23"/>
    </row>
    <row r="78" spans="2:61" ht="12" customHeight="1" x14ac:dyDescent="0.3">
      <c r="G78" s="23"/>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23"/>
      <c r="BD78" s="23"/>
      <c r="BE78" s="23"/>
      <c r="BF78" s="23"/>
      <c r="BG78" s="23"/>
      <c r="BH78" s="23"/>
      <c r="BI78" s="23"/>
    </row>
    <row r="79" spans="2:61" ht="12" customHeight="1" x14ac:dyDescent="0.3">
      <c r="AG79" s="6"/>
    </row>
    <row r="80" spans="2:61"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sheetData>
  <sheetProtection algorithmName="SHA-512" hashValue="Gkqs2lSnqYGYbXR9UAWC59B2cgQop/2UjtHkpAeVYbh5hLKh3KXBWWem4jQkpskmj0iM3KSNWI+jBS0yIXsdVg==" saltValue="6W58KsjZ6QxHsRItRdbzeQ==" spinCount="100000" sheet="1" objects="1" scenarios="1" formatCells="0" selectLockedCells="1"/>
  <mergeCells count="197">
    <mergeCell ref="H7:O7"/>
    <mergeCell ref="P7:AC7"/>
    <mergeCell ref="AD7:AK7"/>
    <mergeCell ref="AL7:BB7"/>
    <mergeCell ref="H8:O8"/>
    <mergeCell ref="P8:AC8"/>
    <mergeCell ref="AD8:AK8"/>
    <mergeCell ref="AL8:BB8"/>
    <mergeCell ref="L5:S5"/>
    <mergeCell ref="T5:AC5"/>
    <mergeCell ref="AD5:AL5"/>
    <mergeCell ref="AM5:AX5"/>
    <mergeCell ref="L1:AX2"/>
    <mergeCell ref="L3:S3"/>
    <mergeCell ref="T3:AL3"/>
    <mergeCell ref="L4:S4"/>
    <mergeCell ref="T4:AC4"/>
    <mergeCell ref="AD4:AL4"/>
    <mergeCell ref="AM4:AX4"/>
    <mergeCell ref="AM3:AQ3"/>
    <mergeCell ref="AR3:AX3"/>
    <mergeCell ref="AY30:BD31"/>
    <mergeCell ref="AY28:BD29"/>
    <mergeCell ref="AY26:BD27"/>
    <mergeCell ref="AY24:BD25"/>
    <mergeCell ref="AY22:BD23"/>
    <mergeCell ref="AY20:BD21"/>
    <mergeCell ref="AX20:AX21"/>
    <mergeCell ref="AG15:BD16"/>
    <mergeCell ref="U28:Z29"/>
    <mergeCell ref="U26:Z27"/>
    <mergeCell ref="U24:Z25"/>
    <mergeCell ref="U22:Z23"/>
    <mergeCell ref="U20:Z21"/>
    <mergeCell ref="AF20:AF21"/>
    <mergeCell ref="AF22:AF23"/>
    <mergeCell ref="AF24:AF25"/>
    <mergeCell ref="AF26:AF27"/>
    <mergeCell ref="C15:Z16"/>
    <mergeCell ref="T30:T31"/>
    <mergeCell ref="K20:K21"/>
    <mergeCell ref="K22:K23"/>
    <mergeCell ref="K24:K25"/>
    <mergeCell ref="K26:K27"/>
    <mergeCell ref="K28:K29"/>
    <mergeCell ref="C55:H56"/>
    <mergeCell ref="L55:Q56"/>
    <mergeCell ref="U55:Z56"/>
    <mergeCell ref="AG55:AL56"/>
    <mergeCell ref="AP55:AU56"/>
    <mergeCell ref="C51:H52"/>
    <mergeCell ref="L51:Q52"/>
    <mergeCell ref="U51:Z52"/>
    <mergeCell ref="AG51:AL52"/>
    <mergeCell ref="AP51:AU52"/>
    <mergeCell ref="AY51:BD52"/>
    <mergeCell ref="C53:H54"/>
    <mergeCell ref="L53:Q54"/>
    <mergeCell ref="U53:Z54"/>
    <mergeCell ref="AG53:AL54"/>
    <mergeCell ref="AP53:AU54"/>
    <mergeCell ref="AY53:BD54"/>
    <mergeCell ref="U18:Z19"/>
    <mergeCell ref="L18:Q19"/>
    <mergeCell ref="C18:H19"/>
    <mergeCell ref="C30:H31"/>
    <mergeCell ref="C28:H29"/>
    <mergeCell ref="C26:H27"/>
    <mergeCell ref="C24:H25"/>
    <mergeCell ref="C22:H23"/>
    <mergeCell ref="C20:H21"/>
    <mergeCell ref="L30:Q31"/>
    <mergeCell ref="L28:Q29"/>
    <mergeCell ref="L26:Q27"/>
    <mergeCell ref="L24:Q25"/>
    <mergeCell ref="L22:Q23"/>
    <mergeCell ref="L20:Q21"/>
    <mergeCell ref="U30:Z31"/>
    <mergeCell ref="AY18:BD19"/>
    <mergeCell ref="AY61:BD62"/>
    <mergeCell ref="AX61:AX62"/>
    <mergeCell ref="AF61:AF62"/>
    <mergeCell ref="T61:T62"/>
    <mergeCell ref="AY55:BD56"/>
    <mergeCell ref="C57:H58"/>
    <mergeCell ref="L57:Q58"/>
    <mergeCell ref="U57:Z58"/>
    <mergeCell ref="AG57:AL58"/>
    <mergeCell ref="AP57:AU58"/>
    <mergeCell ref="AY57:BD58"/>
    <mergeCell ref="AF55:AF56"/>
    <mergeCell ref="AF57:AF58"/>
    <mergeCell ref="T55:T56"/>
    <mergeCell ref="T57:T58"/>
    <mergeCell ref="K55:K56"/>
    <mergeCell ref="K57:K58"/>
    <mergeCell ref="C59:H60"/>
    <mergeCell ref="L59:Q60"/>
    <mergeCell ref="U59:Z60"/>
    <mergeCell ref="AG59:AL60"/>
    <mergeCell ref="AP59:AU60"/>
    <mergeCell ref="AY59:BD60"/>
    <mergeCell ref="C61:H62"/>
    <mergeCell ref="AY63:BD64"/>
    <mergeCell ref="AD37:AI45"/>
    <mergeCell ref="B53:B54"/>
    <mergeCell ref="B55:B56"/>
    <mergeCell ref="B57:B58"/>
    <mergeCell ref="B59:B60"/>
    <mergeCell ref="B61:B62"/>
    <mergeCell ref="B63:B64"/>
    <mergeCell ref="K53:K54"/>
    <mergeCell ref="T53:T54"/>
    <mergeCell ref="AF53:AF54"/>
    <mergeCell ref="AO53:AO54"/>
    <mergeCell ref="AX53:AX54"/>
    <mergeCell ref="AX55:AX56"/>
    <mergeCell ref="AX57:AX58"/>
    <mergeCell ref="AX59:AX60"/>
    <mergeCell ref="C63:H64"/>
    <mergeCell ref="L63:Q64"/>
    <mergeCell ref="U63:Z64"/>
    <mergeCell ref="AG63:AL64"/>
    <mergeCell ref="AP63:AU64"/>
    <mergeCell ref="AF63:AF64"/>
    <mergeCell ref="T63:T64"/>
    <mergeCell ref="L61:Q62"/>
    <mergeCell ref="K63:K64"/>
    <mergeCell ref="B20:B21"/>
    <mergeCell ref="B22:B23"/>
    <mergeCell ref="B24:B25"/>
    <mergeCell ref="B26:B27"/>
    <mergeCell ref="B28:B29"/>
    <mergeCell ref="B30:B31"/>
    <mergeCell ref="AX63:AX64"/>
    <mergeCell ref="AO55:AO56"/>
    <mergeCell ref="AO57:AO58"/>
    <mergeCell ref="AO59:AO60"/>
    <mergeCell ref="AO61:AO62"/>
    <mergeCell ref="AO63:AO64"/>
    <mergeCell ref="U61:Z62"/>
    <mergeCell ref="AG61:AL62"/>
    <mergeCell ref="AP61:AU62"/>
    <mergeCell ref="AG30:AL31"/>
    <mergeCell ref="AG28:AL29"/>
    <mergeCell ref="AG26:AL27"/>
    <mergeCell ref="AG24:AL25"/>
    <mergeCell ref="AG22:AL23"/>
    <mergeCell ref="AG20:AL21"/>
    <mergeCell ref="AP30:AU31"/>
    <mergeCell ref="AF59:AF60"/>
    <mergeCell ref="K30:K31"/>
    <mergeCell ref="T20:T21"/>
    <mergeCell ref="K61:K62"/>
    <mergeCell ref="T59:T60"/>
    <mergeCell ref="K59:K60"/>
    <mergeCell ref="AP24:AU25"/>
    <mergeCell ref="AP22:AU23"/>
    <mergeCell ref="AP20:AU21"/>
    <mergeCell ref="AD35:AI36"/>
    <mergeCell ref="AX22:AX23"/>
    <mergeCell ref="AX24:AX25"/>
    <mergeCell ref="AX26:AX27"/>
    <mergeCell ref="AX28:AX29"/>
    <mergeCell ref="AX30:AX31"/>
    <mergeCell ref="AF28:AF29"/>
    <mergeCell ref="AF30:AF31"/>
    <mergeCell ref="AO20:AO21"/>
    <mergeCell ref="AO22:AO23"/>
    <mergeCell ref="AO24:AO25"/>
    <mergeCell ref="AO26:AO27"/>
    <mergeCell ref="AO28:AO29"/>
    <mergeCell ref="AO30:AO31"/>
    <mergeCell ref="B1:F5"/>
    <mergeCell ref="G1:K5"/>
    <mergeCell ref="AY1:BH5"/>
    <mergeCell ref="BL22:BL38"/>
    <mergeCell ref="BJ22:BJ38"/>
    <mergeCell ref="BK22:BK38"/>
    <mergeCell ref="BJ14:BL15"/>
    <mergeCell ref="BJ16:BL17"/>
    <mergeCell ref="BJ18:BL19"/>
    <mergeCell ref="BJ20:BL21"/>
    <mergeCell ref="B11:F11"/>
    <mergeCell ref="B12:F12"/>
    <mergeCell ref="B13:F13"/>
    <mergeCell ref="G11:BH11"/>
    <mergeCell ref="G12:BH12"/>
    <mergeCell ref="G13:BH13"/>
    <mergeCell ref="T22:T23"/>
    <mergeCell ref="T24:T25"/>
    <mergeCell ref="T26:T27"/>
    <mergeCell ref="T28:T29"/>
    <mergeCell ref="AP18:AU19"/>
    <mergeCell ref="AG18:AL19"/>
    <mergeCell ref="AP28:AU29"/>
    <mergeCell ref="AP26:AU27"/>
  </mergeCells>
  <conditionalFormatting sqref="T3:AL3 AR3:AX3 T4:AC4">
    <cfRule type="cellIs" dxfId="33" priority="1" operator="equal">
      <formula>""</formula>
    </cfRule>
  </conditionalFormatting>
  <conditionalFormatting sqref="AM4:AX5 T5 P7:AC8 AL7:BB8">
    <cfRule type="cellIs" dxfId="32" priority="3" operator="equal">
      <formula>""</formula>
    </cfRule>
  </conditionalFormatting>
  <dataValidations disablePrompts="1" count="1">
    <dataValidation type="list" allowBlank="1" showInputMessage="1" showErrorMessage="1" sqref="AX9:BB9" xr:uid="{D2CC6D5D-A060-46E2-A3E0-C9728E9EE61E}">
      <formula1>#REF!</formula1>
    </dataValidation>
  </dataValidations>
  <pageMargins left="0.31496062992125984" right="0.31496062992125984" top="0.31496062992125984" bottom="0.31496062992125984" header="0" footer="0"/>
  <pageSetup paperSize="9" scale="70" fitToWidth="0" fitToHeight="0"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6B59-7E59-424F-948E-83978866CADB}">
  <sheetPr codeName="Tabelle7">
    <tabColor theme="4" tint="0.39997558519241921"/>
  </sheetPr>
  <dimension ref="B1:AR79"/>
  <sheetViews>
    <sheetView showGridLines="0" zoomScale="145" zoomScaleNormal="145" zoomScaleSheetLayoutView="130" zoomScalePageLayoutView="55" workbookViewId="0">
      <selection activeCell="I12" sqref="I12:AF13"/>
    </sheetView>
  </sheetViews>
  <sheetFormatPr baseColWidth="10" defaultColWidth="10.88671875" defaultRowHeight="14.4" x14ac:dyDescent="0.3"/>
  <cols>
    <col min="2" max="18" width="3.33203125" style="7" customWidth="1"/>
    <col min="19" max="19" width="4.77734375" style="7" customWidth="1"/>
    <col min="20" max="33" width="3.33203125" style="7" customWidth="1"/>
    <col min="44" max="44" width="11.5546875" style="72"/>
  </cols>
  <sheetData>
    <row r="1" spans="2:44" ht="12" customHeight="1" x14ac:dyDescent="0.3">
      <c r="B1" s="333" t="s">
        <v>128</v>
      </c>
      <c r="C1" s="334"/>
      <c r="D1" s="334"/>
      <c r="E1" s="334"/>
      <c r="F1" s="334"/>
      <c r="G1" s="334"/>
      <c r="H1" s="334"/>
      <c r="I1" s="334"/>
      <c r="J1" s="334"/>
      <c r="K1" s="334"/>
      <c r="L1" s="334"/>
      <c r="M1" s="334"/>
      <c r="N1" s="334"/>
      <c r="O1" s="334"/>
      <c r="P1" s="334"/>
      <c r="Q1" s="334"/>
      <c r="R1" s="334"/>
      <c r="S1" s="334"/>
      <c r="T1" s="334"/>
      <c r="U1" s="334"/>
      <c r="V1" s="334"/>
      <c r="W1" s="334"/>
      <c r="X1" s="334"/>
      <c r="Y1" s="334"/>
      <c r="Z1" s="268" t="e" vm="1">
        <v>#VALUE!</v>
      </c>
      <c r="AA1" s="269"/>
      <c r="AB1" s="269"/>
      <c r="AC1" s="269"/>
      <c r="AD1" s="269"/>
      <c r="AE1" s="269"/>
      <c r="AF1" s="269"/>
      <c r="AG1" s="270"/>
    </row>
    <row r="2" spans="2:44" ht="12" customHeight="1" x14ac:dyDescent="0.3">
      <c r="B2" s="335"/>
      <c r="C2" s="336"/>
      <c r="D2" s="336"/>
      <c r="E2" s="336"/>
      <c r="F2" s="336"/>
      <c r="G2" s="336"/>
      <c r="H2" s="336"/>
      <c r="I2" s="336"/>
      <c r="J2" s="336"/>
      <c r="K2" s="336"/>
      <c r="L2" s="336"/>
      <c r="M2" s="336"/>
      <c r="N2" s="336"/>
      <c r="O2" s="336"/>
      <c r="P2" s="336"/>
      <c r="Q2" s="336"/>
      <c r="R2" s="336"/>
      <c r="S2" s="336"/>
      <c r="T2" s="336"/>
      <c r="U2" s="336"/>
      <c r="V2" s="336"/>
      <c r="W2" s="336"/>
      <c r="X2" s="336"/>
      <c r="Y2" s="336"/>
      <c r="Z2" s="271"/>
      <c r="AA2" s="272"/>
      <c r="AB2" s="272"/>
      <c r="AC2" s="272"/>
      <c r="AD2" s="272"/>
      <c r="AE2" s="272"/>
      <c r="AF2" s="272"/>
      <c r="AG2" s="273"/>
      <c r="AI2" s="188"/>
      <c r="AJ2" s="188"/>
    </row>
    <row r="3" spans="2:44" ht="31.05" customHeight="1" x14ac:dyDescent="0.3">
      <c r="B3" s="337" t="str">
        <f>HLOOKUP(Language!$B$2,Language!$C$12:$H$656,8)</f>
        <v>Contact Person (Customer):</v>
      </c>
      <c r="C3" s="338"/>
      <c r="D3" s="338"/>
      <c r="E3" s="338"/>
      <c r="F3" s="339"/>
      <c r="G3" s="338" t="str">
        <f>IF('D1-D3'!$G$3="","",'D1-D3'!$G$3)</f>
        <v/>
      </c>
      <c r="H3" s="338"/>
      <c r="I3" s="338"/>
      <c r="J3" s="338"/>
      <c r="K3" s="338"/>
      <c r="L3" s="338"/>
      <c r="M3" s="338"/>
      <c r="N3" s="338"/>
      <c r="O3" s="338"/>
      <c r="P3" s="338"/>
      <c r="Q3" s="338"/>
      <c r="R3" s="338"/>
      <c r="S3" s="338"/>
      <c r="T3" s="349" t="str">
        <f>HLOOKUP(Language!$B$2,Language!$C$12:$H$656,5)</f>
        <v>8D started on:</v>
      </c>
      <c r="U3" s="338"/>
      <c r="V3" s="338"/>
      <c r="W3" s="477" t="str">
        <f>IF('D1-D3'!$W$3="","",'D1-D3'!$W$3)</f>
        <v/>
      </c>
      <c r="X3" s="411"/>
      <c r="Y3" s="412"/>
      <c r="Z3" s="271"/>
      <c r="AA3" s="272"/>
      <c r="AB3" s="272"/>
      <c r="AC3" s="272"/>
      <c r="AD3" s="272"/>
      <c r="AE3" s="272"/>
      <c r="AF3" s="272"/>
      <c r="AG3" s="273"/>
      <c r="AI3" s="188"/>
      <c r="AJ3" s="188"/>
    </row>
    <row r="4" spans="2:44" ht="12" customHeight="1" x14ac:dyDescent="0.3">
      <c r="B4" s="340" t="str">
        <f>HLOOKUP(Language!$B$2,Language!$C$12:$H$656,7)</f>
        <v>Customer:</v>
      </c>
      <c r="C4" s="311"/>
      <c r="D4" s="311"/>
      <c r="E4" s="311"/>
      <c r="F4" s="312"/>
      <c r="G4" s="395" t="str">
        <f>IF('D1-D3'!$G$4="","",'D1-D3'!$G$4)</f>
        <v/>
      </c>
      <c r="H4" s="396"/>
      <c r="I4" s="396"/>
      <c r="J4" s="396"/>
      <c r="K4" s="396"/>
      <c r="L4" s="397"/>
      <c r="M4" s="310" t="str">
        <f>HLOOKUP(Language!$B$2,Language!$C$12:$H$656,15)</f>
        <v>Supplier:</v>
      </c>
      <c r="N4" s="311"/>
      <c r="O4" s="311"/>
      <c r="P4" s="311"/>
      <c r="Q4" s="311"/>
      <c r="R4" s="311"/>
      <c r="S4" s="312"/>
      <c r="T4" s="395" t="str">
        <f>IF('D1-D3'!$T$4="","",'D1-D3'!$T$4)</f>
        <v/>
      </c>
      <c r="U4" s="396"/>
      <c r="V4" s="396"/>
      <c r="W4" s="396"/>
      <c r="X4" s="396"/>
      <c r="Y4" s="415"/>
      <c r="Z4" s="250"/>
      <c r="AA4" s="274" t="str">
        <f>HLOOKUP(Language!$B$2,Language!$C$12:$H$656,6)</f>
        <v>ELS:840 01 04
EOT:4 1021 03-02T
PEL:100 02 03</v>
      </c>
      <c r="AB4" s="274"/>
      <c r="AC4" s="274"/>
      <c r="AD4" s="274"/>
      <c r="AE4" s="276" t="str">
        <f>'D1-D3'!AE4</f>
        <v>Rev.07</v>
      </c>
      <c r="AF4" s="276"/>
      <c r="AG4" s="251"/>
      <c r="AR4" s="89"/>
    </row>
    <row r="5" spans="2:44" ht="21" customHeight="1" thickBot="1" x14ac:dyDescent="0.35">
      <c r="B5" s="341" t="str">
        <f>HLOOKUP(Language!$B$2,Language!$C$12:$H$656,9)</f>
        <v>Complaint number (Customer):</v>
      </c>
      <c r="C5" s="342"/>
      <c r="D5" s="342"/>
      <c r="E5" s="342"/>
      <c r="F5" s="343"/>
      <c r="G5" s="405" t="str">
        <f>IF('D1-D3'!$G$5="","",'D1-D3'!$G$5)</f>
        <v/>
      </c>
      <c r="H5" s="406"/>
      <c r="I5" s="406"/>
      <c r="J5" s="406"/>
      <c r="K5" s="406"/>
      <c r="L5" s="416"/>
      <c r="M5" s="485" t="str">
        <f>HLOOKUP(Language!$B$2,Language!$C$12:$H$656,14)</f>
        <v>Complaint number (Supplier):</v>
      </c>
      <c r="N5" s="486"/>
      <c r="O5" s="486"/>
      <c r="P5" s="486"/>
      <c r="Q5" s="486"/>
      <c r="R5" s="486"/>
      <c r="S5" s="487"/>
      <c r="T5" s="405" t="str">
        <f>IF('D1-D3'!$T$5="","",'D1-D3'!$T$5)</f>
        <v/>
      </c>
      <c r="U5" s="406"/>
      <c r="V5" s="406"/>
      <c r="W5" s="406"/>
      <c r="X5" s="406"/>
      <c r="Y5" s="407"/>
      <c r="Z5" s="249"/>
      <c r="AA5" s="275"/>
      <c r="AB5" s="275"/>
      <c r="AC5" s="275"/>
      <c r="AD5" s="275"/>
      <c r="AE5" s="277"/>
      <c r="AF5" s="277"/>
      <c r="AG5" s="97"/>
    </row>
    <row r="6" spans="2:44" ht="12" customHeight="1" x14ac:dyDescent="0.3">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row>
    <row r="7" spans="2:44" ht="12" customHeight="1" x14ac:dyDescent="0.3">
      <c r="B7" s="4"/>
      <c r="C7" s="305" t="str">
        <f>HLOOKUP(Language!$B$2,Language!$C$12:$H$656,10)</f>
        <v>Material name:</v>
      </c>
      <c r="D7" s="305"/>
      <c r="E7" s="305"/>
      <c r="F7" s="305"/>
      <c r="G7" s="305"/>
      <c r="H7" s="404" t="str">
        <f>IF('D1-D3'!$H$7="","",'D1-D3'!$H$7)</f>
        <v/>
      </c>
      <c r="I7" s="404"/>
      <c r="J7" s="404"/>
      <c r="K7" s="404"/>
      <c r="L7" s="404"/>
      <c r="M7" s="404"/>
      <c r="N7" s="404"/>
      <c r="O7" s="404"/>
      <c r="P7" s="404"/>
      <c r="Q7" s="404"/>
      <c r="R7" s="305" t="str">
        <f>HLOOKUP(Language!$B$2,Language!$C$12:$H$656,12)</f>
        <v>Drawing no.</v>
      </c>
      <c r="S7" s="305"/>
      <c r="T7" s="305"/>
      <c r="U7" s="305"/>
      <c r="V7" s="305"/>
      <c r="W7" s="404" t="str">
        <f>IF('D1-D3'!$W$7="","",'D1-D3'!$W$7)</f>
        <v/>
      </c>
      <c r="X7" s="404"/>
      <c r="Y7" s="404"/>
      <c r="Z7" s="404"/>
      <c r="AA7" s="404"/>
      <c r="AB7" s="404"/>
      <c r="AC7" s="404"/>
      <c r="AD7" s="404"/>
      <c r="AE7" s="404"/>
      <c r="AF7" s="404"/>
      <c r="AG7" s="5"/>
    </row>
    <row r="8" spans="2:44" ht="12" customHeight="1" x14ac:dyDescent="0.3">
      <c r="B8" s="4"/>
      <c r="C8" s="305" t="str">
        <f>HLOOKUP(Language!$B$2,Language!$C$12:$H$656,11)</f>
        <v>Material number:</v>
      </c>
      <c r="D8" s="305"/>
      <c r="E8" s="305"/>
      <c r="F8" s="305"/>
      <c r="G8" s="305"/>
      <c r="H8" s="404" t="str">
        <f>IF('D1-D3'!$H$8="","",'D1-D3'!$H$8)</f>
        <v/>
      </c>
      <c r="I8" s="404"/>
      <c r="J8" s="404"/>
      <c r="K8" s="404"/>
      <c r="L8" s="404"/>
      <c r="M8" s="404"/>
      <c r="N8" s="404"/>
      <c r="O8" s="404"/>
      <c r="P8" s="404"/>
      <c r="Q8" s="404"/>
      <c r="R8" s="305" t="str">
        <f>HLOOKUP(Language!$B$2,Language!$C$12:$H$656,13)</f>
        <v>Drawing revision</v>
      </c>
      <c r="S8" s="305"/>
      <c r="T8" s="305"/>
      <c r="U8" s="305"/>
      <c r="V8" s="305"/>
      <c r="W8" s="404" t="str">
        <f>IF('D1-D3'!$W$8="","",'D1-D3'!$W$8)</f>
        <v/>
      </c>
      <c r="X8" s="404"/>
      <c r="Y8" s="404"/>
      <c r="Z8" s="404"/>
      <c r="AA8" s="404"/>
      <c r="AB8" s="404"/>
      <c r="AC8" s="404"/>
      <c r="AD8" s="404"/>
      <c r="AE8" s="404"/>
      <c r="AF8" s="404"/>
      <c r="AG8" s="5"/>
    </row>
    <row r="9" spans="2:44"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row>
    <row r="10" spans="2:44" ht="15" customHeight="1" thickBot="1" x14ac:dyDescent="0.35">
      <c r="B10" s="302" t="str">
        <f>HLOOKUP(Language!$B$2,Language!$C$12:$H$656,179)</f>
        <v>Occurrence</v>
      </c>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4"/>
    </row>
    <row r="11" spans="2:44" ht="12" customHeight="1" x14ac:dyDescent="0.3">
      <c r="B11" s="81"/>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2"/>
    </row>
    <row r="12" spans="2:44" ht="12" customHeight="1" x14ac:dyDescent="0.3">
      <c r="B12" s="83"/>
      <c r="C12"/>
      <c r="D12" s="101"/>
      <c r="E12" s="101"/>
      <c r="F12" s="589" t="s">
        <v>131</v>
      </c>
      <c r="G12" s="590"/>
      <c r="H12" s="590"/>
      <c r="I12" s="585"/>
      <c r="J12" s="585"/>
      <c r="K12" s="585"/>
      <c r="L12" s="585"/>
      <c r="M12" s="585"/>
      <c r="N12" s="585"/>
      <c r="O12" s="585"/>
      <c r="P12" s="585"/>
      <c r="Q12" s="585"/>
      <c r="R12" s="585"/>
      <c r="S12" s="585"/>
      <c r="T12" s="585"/>
      <c r="U12" s="585"/>
      <c r="V12" s="585"/>
      <c r="W12" s="585"/>
      <c r="X12" s="585"/>
      <c r="Y12" s="585"/>
      <c r="Z12" s="585"/>
      <c r="AA12" s="585"/>
      <c r="AB12" s="585"/>
      <c r="AC12" s="585"/>
      <c r="AD12" s="585"/>
      <c r="AE12" s="585"/>
      <c r="AF12" s="586"/>
      <c r="AG12" s="84"/>
    </row>
    <row r="13" spans="2:44" ht="12" customHeight="1" x14ac:dyDescent="0.3">
      <c r="B13" s="4"/>
      <c r="C13" s="101"/>
      <c r="D13" s="101"/>
      <c r="E13" s="101"/>
      <c r="F13" s="591"/>
      <c r="G13" s="592"/>
      <c r="H13" s="592"/>
      <c r="I13" s="587"/>
      <c r="J13" s="587"/>
      <c r="K13" s="587"/>
      <c r="L13" s="587"/>
      <c r="M13" s="587"/>
      <c r="N13" s="587"/>
      <c r="O13" s="587"/>
      <c r="P13" s="587"/>
      <c r="Q13" s="587"/>
      <c r="R13" s="587"/>
      <c r="S13" s="587"/>
      <c r="T13" s="587"/>
      <c r="U13" s="587"/>
      <c r="V13" s="587"/>
      <c r="W13" s="587"/>
      <c r="X13" s="587"/>
      <c r="Y13" s="587"/>
      <c r="Z13" s="587"/>
      <c r="AA13" s="587"/>
      <c r="AB13" s="587"/>
      <c r="AC13" s="587"/>
      <c r="AD13" s="587"/>
      <c r="AE13" s="587"/>
      <c r="AF13" s="588"/>
      <c r="AG13" s="5"/>
    </row>
    <row r="14" spans="2:44" ht="12" customHeight="1" x14ac:dyDescent="0.3">
      <c r="B14" s="4"/>
      <c r="C14" s="12"/>
      <c r="D14" s="12"/>
      <c r="E14" s="12"/>
      <c r="F14" s="147"/>
      <c r="G14" s="147"/>
      <c r="H14" s="148"/>
      <c r="I14" s="593"/>
      <c r="J14" s="593"/>
      <c r="K14" s="593"/>
      <c r="L14" s="593"/>
      <c r="M14" s="593"/>
      <c r="N14" s="593"/>
      <c r="O14" s="593"/>
      <c r="P14" s="593"/>
      <c r="Q14" s="593"/>
      <c r="R14" s="593"/>
      <c r="S14" s="593"/>
      <c r="T14" s="593"/>
      <c r="U14" s="593"/>
      <c r="V14" s="593"/>
      <c r="W14" s="593"/>
      <c r="X14" s="593"/>
      <c r="Y14" s="593"/>
      <c r="Z14" s="593"/>
      <c r="AA14" s="593"/>
      <c r="AB14" s="593"/>
      <c r="AC14" s="593"/>
      <c r="AD14" s="593"/>
      <c r="AE14" s="593"/>
      <c r="AF14" s="594"/>
      <c r="AG14" s="5"/>
    </row>
    <row r="15" spans="2:44" ht="12" customHeight="1" x14ac:dyDescent="0.3">
      <c r="B15" s="31"/>
      <c r="C15" s="12"/>
      <c r="D15" s="12"/>
      <c r="E15" s="12"/>
      <c r="F15" s="30"/>
      <c r="G15" s="30"/>
      <c r="H15" s="149"/>
      <c r="I15" s="593"/>
      <c r="J15" s="593"/>
      <c r="K15" s="593"/>
      <c r="L15" s="593"/>
      <c r="M15" s="593"/>
      <c r="N15" s="593"/>
      <c r="O15" s="593"/>
      <c r="P15" s="593"/>
      <c r="Q15" s="593"/>
      <c r="R15" s="593"/>
      <c r="S15" s="593"/>
      <c r="T15" s="593"/>
      <c r="U15" s="593"/>
      <c r="V15" s="593"/>
      <c r="W15" s="593"/>
      <c r="X15" s="593"/>
      <c r="Y15" s="593"/>
      <c r="Z15" s="593"/>
      <c r="AA15" s="593"/>
      <c r="AB15" s="593"/>
      <c r="AC15" s="593"/>
      <c r="AD15" s="593"/>
      <c r="AE15" s="593"/>
      <c r="AF15" s="594"/>
      <c r="AG15" s="32"/>
    </row>
    <row r="16" spans="2:44" ht="12" customHeight="1" x14ac:dyDescent="0.3">
      <c r="B16" s="4"/>
      <c r="C16" s="12"/>
      <c r="D16" s="12"/>
      <c r="E16" s="12"/>
      <c r="F16" s="30"/>
      <c r="G16" s="30"/>
      <c r="H16" s="149"/>
      <c r="I16" s="595"/>
      <c r="J16" s="595"/>
      <c r="K16" s="595"/>
      <c r="L16" s="595"/>
      <c r="M16" s="595"/>
      <c r="N16" s="595"/>
      <c r="O16" s="595"/>
      <c r="P16" s="595"/>
      <c r="Q16" s="595"/>
      <c r="R16" s="595"/>
      <c r="S16" s="595"/>
      <c r="T16" s="595"/>
      <c r="U16" s="595"/>
      <c r="V16" s="595"/>
      <c r="W16" s="595"/>
      <c r="X16" s="595"/>
      <c r="Y16" s="595"/>
      <c r="Z16" s="595"/>
      <c r="AA16" s="595"/>
      <c r="AB16" s="595"/>
      <c r="AC16" s="595"/>
      <c r="AD16" s="595"/>
      <c r="AE16" s="595"/>
      <c r="AF16" s="596"/>
      <c r="AG16" s="5"/>
    </row>
    <row r="17" spans="2:33" ht="12" customHeight="1" x14ac:dyDescent="0.3">
      <c r="B17" s="4"/>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5"/>
    </row>
    <row r="18" spans="2:33" ht="12" customHeight="1" x14ac:dyDescent="0.3">
      <c r="B18" s="4"/>
      <c r="C18" s="15"/>
      <c r="D18" s="15"/>
      <c r="E18" s="15"/>
      <c r="F18" s="589" t="s">
        <v>132</v>
      </c>
      <c r="G18" s="590"/>
      <c r="H18" s="590"/>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6"/>
      <c r="AG18" s="5"/>
    </row>
    <row r="19" spans="2:33" ht="12" customHeight="1" x14ac:dyDescent="0.3">
      <c r="B19" s="4"/>
      <c r="C19" s="12"/>
      <c r="D19" s="12"/>
      <c r="F19" s="591"/>
      <c r="G19" s="592"/>
      <c r="H19" s="592"/>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8"/>
      <c r="AG19" s="5"/>
    </row>
    <row r="20" spans="2:33" ht="12" customHeight="1" x14ac:dyDescent="0.3">
      <c r="B20" s="4"/>
      <c r="C20" s="15"/>
      <c r="D20" s="15"/>
      <c r="E20" s="15"/>
      <c r="F20" s="147"/>
      <c r="G20" s="147"/>
      <c r="H20" s="148"/>
      <c r="I20" s="593"/>
      <c r="J20" s="593"/>
      <c r="K20" s="593"/>
      <c r="L20" s="593"/>
      <c r="M20" s="593"/>
      <c r="N20" s="593"/>
      <c r="O20" s="593"/>
      <c r="P20" s="593"/>
      <c r="Q20" s="593"/>
      <c r="R20" s="593"/>
      <c r="S20" s="593"/>
      <c r="T20" s="593"/>
      <c r="U20" s="593"/>
      <c r="V20" s="593"/>
      <c r="W20" s="593"/>
      <c r="X20" s="593"/>
      <c r="Y20" s="593"/>
      <c r="Z20" s="593"/>
      <c r="AA20" s="593"/>
      <c r="AB20" s="593"/>
      <c r="AC20" s="593"/>
      <c r="AD20" s="593"/>
      <c r="AE20" s="593"/>
      <c r="AF20" s="594"/>
      <c r="AG20" s="5"/>
    </row>
    <row r="21" spans="2:33" ht="12" customHeight="1" x14ac:dyDescent="0.3">
      <c r="B21" s="4"/>
      <c r="C21" s="44"/>
      <c r="D21" s="44"/>
      <c r="E21" s="44"/>
      <c r="F21" s="30"/>
      <c r="G21" s="30"/>
      <c r="H21" s="149"/>
      <c r="I21" s="593"/>
      <c r="J21" s="593"/>
      <c r="K21" s="593"/>
      <c r="L21" s="593"/>
      <c r="M21" s="593"/>
      <c r="N21" s="593"/>
      <c r="O21" s="593"/>
      <c r="P21" s="593"/>
      <c r="Q21" s="593"/>
      <c r="R21" s="593"/>
      <c r="S21" s="593"/>
      <c r="T21" s="593"/>
      <c r="U21" s="593"/>
      <c r="V21" s="593"/>
      <c r="W21" s="593"/>
      <c r="X21" s="593"/>
      <c r="Y21" s="593"/>
      <c r="Z21" s="593"/>
      <c r="AA21" s="593"/>
      <c r="AB21" s="593"/>
      <c r="AC21" s="593"/>
      <c r="AD21" s="593"/>
      <c r="AE21" s="593"/>
      <c r="AF21" s="594"/>
      <c r="AG21" s="5"/>
    </row>
    <row r="22" spans="2:33" ht="12" customHeight="1" x14ac:dyDescent="0.3">
      <c r="B22" s="4"/>
      <c r="C22" s="30"/>
      <c r="D22" s="30"/>
      <c r="E22" s="30"/>
      <c r="F22" s="30"/>
      <c r="G22" s="30"/>
      <c r="H22" s="149"/>
      <c r="I22" s="595"/>
      <c r="J22" s="595"/>
      <c r="K22" s="595"/>
      <c r="L22" s="595"/>
      <c r="M22" s="595"/>
      <c r="N22" s="595"/>
      <c r="O22" s="595"/>
      <c r="P22" s="595"/>
      <c r="Q22" s="595"/>
      <c r="R22" s="595"/>
      <c r="S22" s="595"/>
      <c r="T22" s="595"/>
      <c r="U22" s="595"/>
      <c r="V22" s="595"/>
      <c r="W22" s="595"/>
      <c r="X22" s="595"/>
      <c r="Y22" s="595"/>
      <c r="Z22" s="595"/>
      <c r="AA22" s="595"/>
      <c r="AB22" s="595"/>
      <c r="AC22" s="595"/>
      <c r="AD22" s="595"/>
      <c r="AE22" s="595"/>
      <c r="AF22" s="596"/>
      <c r="AG22" s="5"/>
    </row>
    <row r="23" spans="2:33" ht="12" customHeight="1" x14ac:dyDescent="0.3">
      <c r="B23" s="4"/>
      <c r="C23" s="30"/>
      <c r="D23" s="30"/>
      <c r="E23" s="30"/>
      <c r="F23" s="30"/>
      <c r="G23" s="30"/>
      <c r="H23" s="30"/>
      <c r="I23" s="30"/>
      <c r="J23" s="30"/>
      <c r="K23" s="46"/>
      <c r="L23" s="46"/>
      <c r="M23" s="46"/>
      <c r="N23" s="30"/>
      <c r="O23" s="30"/>
      <c r="P23" s="30"/>
      <c r="Q23" s="30"/>
      <c r="R23" s="30"/>
      <c r="S23" s="46"/>
      <c r="T23" s="46"/>
      <c r="U23" s="46"/>
      <c r="V23" s="46"/>
      <c r="W23" s="46"/>
      <c r="X23" s="46"/>
      <c r="Y23" s="30"/>
      <c r="Z23" s="30"/>
      <c r="AA23" s="30"/>
      <c r="AB23" s="30"/>
      <c r="AC23" s="30"/>
      <c r="AD23" s="30"/>
      <c r="AE23" s="30"/>
      <c r="AF23" s="30"/>
      <c r="AG23" s="5"/>
    </row>
    <row r="24" spans="2:33" ht="12" customHeight="1" x14ac:dyDescent="0.3">
      <c r="B24" s="4"/>
      <c r="C24" s="12"/>
      <c r="D24" s="12"/>
      <c r="E24" s="12"/>
      <c r="F24" s="589" t="s">
        <v>133</v>
      </c>
      <c r="G24" s="590"/>
      <c r="H24" s="590"/>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6"/>
      <c r="AG24" s="5"/>
    </row>
    <row r="25" spans="2:33" ht="12" customHeight="1" x14ac:dyDescent="0.3">
      <c r="B25" s="39"/>
      <c r="C25" s="42"/>
      <c r="D25" s="42"/>
      <c r="E25" s="42"/>
      <c r="F25" s="591"/>
      <c r="G25" s="592"/>
      <c r="H25" s="592"/>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8"/>
      <c r="AG25" s="49"/>
    </row>
    <row r="26" spans="2:33" ht="12" customHeight="1" x14ac:dyDescent="0.3">
      <c r="B26" s="39"/>
      <c r="C26" s="37"/>
      <c r="D26" s="37"/>
      <c r="E26"/>
      <c r="F26" s="147"/>
      <c r="G26" s="147"/>
      <c r="H26" s="148"/>
      <c r="I26" s="593"/>
      <c r="J26" s="593"/>
      <c r="K26" s="593"/>
      <c r="L26" s="593"/>
      <c r="M26" s="593"/>
      <c r="N26" s="593"/>
      <c r="O26" s="593"/>
      <c r="P26" s="593"/>
      <c r="Q26" s="593"/>
      <c r="R26" s="593"/>
      <c r="S26" s="593"/>
      <c r="T26" s="593"/>
      <c r="U26" s="593"/>
      <c r="V26" s="593"/>
      <c r="W26" s="593"/>
      <c r="X26" s="593"/>
      <c r="Y26" s="593"/>
      <c r="Z26" s="593"/>
      <c r="AA26" s="593"/>
      <c r="AB26" s="593"/>
      <c r="AC26" s="593"/>
      <c r="AD26" s="593"/>
      <c r="AE26" s="593"/>
      <c r="AF26" s="594"/>
      <c r="AG26" s="49"/>
    </row>
    <row r="27" spans="2:33" ht="12" customHeight="1" x14ac:dyDescent="0.3">
      <c r="B27" s="50"/>
      <c r="C27" s="37"/>
      <c r="D27" s="37"/>
      <c r="E27" s="37"/>
      <c r="F27" s="30"/>
      <c r="G27" s="30"/>
      <c r="H27" s="149"/>
      <c r="I27" s="593"/>
      <c r="J27" s="593"/>
      <c r="K27" s="593"/>
      <c r="L27" s="593"/>
      <c r="M27" s="593"/>
      <c r="N27" s="593"/>
      <c r="O27" s="593"/>
      <c r="P27" s="593"/>
      <c r="Q27" s="593"/>
      <c r="R27" s="593"/>
      <c r="S27" s="593"/>
      <c r="T27" s="593"/>
      <c r="U27" s="593"/>
      <c r="V27" s="593"/>
      <c r="W27" s="593"/>
      <c r="X27" s="593"/>
      <c r="Y27" s="593"/>
      <c r="Z27" s="593"/>
      <c r="AA27" s="593"/>
      <c r="AB27" s="593"/>
      <c r="AC27" s="593"/>
      <c r="AD27" s="593"/>
      <c r="AE27" s="593"/>
      <c r="AF27" s="594"/>
      <c r="AG27" s="51"/>
    </row>
    <row r="28" spans="2:33" ht="12" customHeight="1" x14ac:dyDescent="0.3">
      <c r="B28" s="39"/>
      <c r="C28" s="37"/>
      <c r="D28" s="37"/>
      <c r="E28" s="37"/>
      <c r="F28" s="30"/>
      <c r="G28" s="30"/>
      <c r="H28" s="149"/>
      <c r="I28" s="595"/>
      <c r="J28" s="595"/>
      <c r="K28" s="595"/>
      <c r="L28" s="595"/>
      <c r="M28" s="595"/>
      <c r="N28" s="595"/>
      <c r="O28" s="595"/>
      <c r="P28" s="595"/>
      <c r="Q28" s="595"/>
      <c r="R28" s="595"/>
      <c r="S28" s="595"/>
      <c r="T28" s="595"/>
      <c r="U28" s="595"/>
      <c r="V28" s="595"/>
      <c r="W28" s="595"/>
      <c r="X28" s="595"/>
      <c r="Y28" s="595"/>
      <c r="Z28" s="595"/>
      <c r="AA28" s="595"/>
      <c r="AB28" s="595"/>
      <c r="AC28" s="595"/>
      <c r="AD28" s="595"/>
      <c r="AE28" s="595"/>
      <c r="AF28" s="596"/>
      <c r="AG28" s="49"/>
    </row>
    <row r="29" spans="2:33" ht="12" customHeight="1" x14ac:dyDescent="0.3">
      <c r="B29" s="31"/>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32"/>
    </row>
    <row r="30" spans="2:33" ht="12" customHeight="1" x14ac:dyDescent="0.3">
      <c r="B30" s="55"/>
      <c r="C30" s="56"/>
      <c r="D30" s="56"/>
      <c r="E30" s="56"/>
      <c r="F30" s="589" t="s">
        <v>134</v>
      </c>
      <c r="G30" s="590"/>
      <c r="H30" s="590"/>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6"/>
      <c r="AG30" s="57"/>
    </row>
    <row r="31" spans="2:33" ht="12" customHeight="1" x14ac:dyDescent="0.3">
      <c r="B31" s="55"/>
      <c r="C31" s="48"/>
      <c r="D31" s="48"/>
      <c r="E31" s="48"/>
      <c r="F31" s="591"/>
      <c r="G31" s="592"/>
      <c r="H31" s="592"/>
      <c r="I31" s="587"/>
      <c r="J31" s="587"/>
      <c r="K31" s="587"/>
      <c r="L31" s="587"/>
      <c r="M31" s="587"/>
      <c r="N31" s="587"/>
      <c r="O31" s="587"/>
      <c r="P31" s="587"/>
      <c r="Q31" s="587"/>
      <c r="R31" s="587"/>
      <c r="S31" s="587"/>
      <c r="T31" s="587"/>
      <c r="U31" s="587"/>
      <c r="V31" s="587"/>
      <c r="W31" s="587"/>
      <c r="X31" s="587"/>
      <c r="Y31" s="587"/>
      <c r="Z31" s="587"/>
      <c r="AA31" s="587"/>
      <c r="AB31" s="587"/>
      <c r="AC31" s="587"/>
      <c r="AD31" s="587"/>
      <c r="AE31" s="587"/>
      <c r="AF31" s="588"/>
      <c r="AG31" s="57"/>
    </row>
    <row r="32" spans="2:33" ht="12" customHeight="1" x14ac:dyDescent="0.3">
      <c r="B32" s="55"/>
      <c r="C32" s="60"/>
      <c r="D32" s="60"/>
      <c r="E32" s="60"/>
      <c r="F32" s="147"/>
      <c r="G32" s="147"/>
      <c r="H32" s="148"/>
      <c r="I32" s="593"/>
      <c r="J32" s="593"/>
      <c r="K32" s="593"/>
      <c r="L32" s="593"/>
      <c r="M32" s="593"/>
      <c r="N32" s="593"/>
      <c r="O32" s="593"/>
      <c r="P32" s="593"/>
      <c r="Q32" s="593"/>
      <c r="R32" s="593"/>
      <c r="S32" s="593"/>
      <c r="T32" s="593"/>
      <c r="U32" s="593"/>
      <c r="V32" s="593"/>
      <c r="W32" s="593"/>
      <c r="X32" s="593"/>
      <c r="Y32" s="593"/>
      <c r="Z32" s="593"/>
      <c r="AA32" s="593"/>
      <c r="AB32" s="593"/>
      <c r="AC32" s="593"/>
      <c r="AD32" s="593"/>
      <c r="AE32" s="593"/>
      <c r="AF32" s="594"/>
      <c r="AG32" s="57"/>
    </row>
    <row r="33" spans="2:33" ht="12" customHeight="1" x14ac:dyDescent="0.3">
      <c r="B33" s="55"/>
      <c r="C33" s="43"/>
      <c r="D33" s="43"/>
      <c r="E33" s="43"/>
      <c r="F33" s="30"/>
      <c r="G33" s="30"/>
      <c r="H33" s="149"/>
      <c r="I33" s="593"/>
      <c r="J33" s="593"/>
      <c r="K33" s="593"/>
      <c r="L33" s="593"/>
      <c r="M33" s="593"/>
      <c r="N33" s="593"/>
      <c r="O33" s="593"/>
      <c r="P33" s="593"/>
      <c r="Q33" s="593"/>
      <c r="R33" s="593"/>
      <c r="S33" s="593"/>
      <c r="T33" s="593"/>
      <c r="U33" s="593"/>
      <c r="V33" s="593"/>
      <c r="W33" s="593"/>
      <c r="X33" s="593"/>
      <c r="Y33" s="593"/>
      <c r="Z33" s="593"/>
      <c r="AA33" s="593"/>
      <c r="AB33" s="593"/>
      <c r="AC33" s="593"/>
      <c r="AD33" s="593"/>
      <c r="AE33" s="593"/>
      <c r="AF33" s="594"/>
      <c r="AG33" s="57"/>
    </row>
    <row r="34" spans="2:33" ht="12" customHeight="1" x14ac:dyDescent="0.3">
      <c r="B34" s="55"/>
      <c r="C34" s="43"/>
      <c r="D34" s="43"/>
      <c r="E34" s="43"/>
      <c r="F34" s="30"/>
      <c r="G34" s="30"/>
      <c r="H34" s="149"/>
      <c r="I34" s="595"/>
      <c r="J34" s="595"/>
      <c r="K34" s="595"/>
      <c r="L34" s="595"/>
      <c r="M34" s="595"/>
      <c r="N34" s="595"/>
      <c r="O34" s="595"/>
      <c r="P34" s="595"/>
      <c r="Q34" s="595"/>
      <c r="R34" s="595"/>
      <c r="S34" s="595"/>
      <c r="T34" s="595"/>
      <c r="U34" s="595"/>
      <c r="V34" s="595"/>
      <c r="W34" s="595"/>
      <c r="X34" s="595"/>
      <c r="Y34" s="595"/>
      <c r="Z34" s="595"/>
      <c r="AA34" s="595"/>
      <c r="AB34" s="595"/>
      <c r="AC34" s="595"/>
      <c r="AD34" s="595"/>
      <c r="AE34" s="595"/>
      <c r="AF34" s="596"/>
      <c r="AG34" s="57"/>
    </row>
    <row r="35" spans="2:33" ht="12" customHeight="1" x14ac:dyDescent="0.3">
      <c r="B35" s="55"/>
      <c r="C35" s="43"/>
      <c r="D35" s="43"/>
      <c r="E35" s="43"/>
      <c r="F35" s="43"/>
      <c r="G35" s="43"/>
      <c r="H35" s="43"/>
      <c r="I35" s="43"/>
      <c r="J35" s="43"/>
      <c r="K35" s="43"/>
      <c r="L35" s="43"/>
      <c r="M35" s="43"/>
      <c r="N35" s="43"/>
      <c r="O35" s="43"/>
      <c r="P35" s="43"/>
      <c r="Q35" s="43"/>
      <c r="R35" s="43"/>
      <c r="S35" s="43"/>
      <c r="T35" s="59"/>
      <c r="U35" s="37"/>
      <c r="V35" s="37"/>
      <c r="W35" s="37"/>
      <c r="X35" s="37"/>
      <c r="Y35" s="37"/>
      <c r="Z35" s="37"/>
      <c r="AA35" s="37"/>
      <c r="AB35" s="37"/>
      <c r="AC35" s="37"/>
      <c r="AD35" s="37"/>
      <c r="AE35" s="59"/>
      <c r="AF35" s="59"/>
      <c r="AG35" s="57"/>
    </row>
    <row r="36" spans="2:33" ht="12" customHeight="1" x14ac:dyDescent="0.3">
      <c r="B36" s="55"/>
      <c r="C36" s="59"/>
      <c r="D36" s="59"/>
      <c r="E36" s="59"/>
      <c r="F36" s="589" t="s">
        <v>135</v>
      </c>
      <c r="G36" s="590"/>
      <c r="H36" s="590"/>
      <c r="I36" s="585"/>
      <c r="J36" s="585"/>
      <c r="K36" s="585"/>
      <c r="L36" s="585"/>
      <c r="M36" s="585"/>
      <c r="N36" s="585"/>
      <c r="O36" s="585"/>
      <c r="P36" s="585"/>
      <c r="Q36" s="585"/>
      <c r="R36" s="585"/>
      <c r="S36" s="585"/>
      <c r="T36" s="585"/>
      <c r="U36" s="585"/>
      <c r="V36" s="585"/>
      <c r="W36" s="585"/>
      <c r="X36" s="585"/>
      <c r="Y36" s="585"/>
      <c r="Z36" s="585"/>
      <c r="AA36" s="585"/>
      <c r="AB36" s="585"/>
      <c r="AC36" s="585"/>
      <c r="AD36" s="585"/>
      <c r="AE36" s="585"/>
      <c r="AF36" s="586"/>
      <c r="AG36" s="57"/>
    </row>
    <row r="37" spans="2:33" ht="12" customHeight="1" x14ac:dyDescent="0.3">
      <c r="B37" s="55"/>
      <c r="C37" s="59"/>
      <c r="D37" s="59"/>
      <c r="E37" s="59"/>
      <c r="F37" s="591"/>
      <c r="G37" s="592"/>
      <c r="H37" s="592"/>
      <c r="I37" s="587"/>
      <c r="J37" s="587"/>
      <c r="K37" s="587"/>
      <c r="L37" s="587"/>
      <c r="M37" s="587"/>
      <c r="N37" s="587"/>
      <c r="O37" s="587"/>
      <c r="P37" s="587"/>
      <c r="Q37" s="587"/>
      <c r="R37" s="587"/>
      <c r="S37" s="587"/>
      <c r="T37" s="587"/>
      <c r="U37" s="587"/>
      <c r="V37" s="587"/>
      <c r="W37" s="587"/>
      <c r="X37" s="587"/>
      <c r="Y37" s="587"/>
      <c r="Z37" s="587"/>
      <c r="AA37" s="587"/>
      <c r="AB37" s="587"/>
      <c r="AC37" s="587"/>
      <c r="AD37" s="587"/>
      <c r="AE37" s="587"/>
      <c r="AF37" s="588"/>
      <c r="AG37" s="57"/>
    </row>
    <row r="38" spans="2:33" ht="12" customHeight="1" x14ac:dyDescent="0.3">
      <c r="B38" s="55"/>
      <c r="C38" s="59"/>
      <c r="D38" s="59"/>
      <c r="E38" s="59"/>
      <c r="F38" s="147"/>
      <c r="G38" s="147"/>
      <c r="H38" s="148"/>
      <c r="I38" s="593"/>
      <c r="J38" s="593"/>
      <c r="K38" s="593"/>
      <c r="L38" s="593"/>
      <c r="M38" s="593"/>
      <c r="N38" s="593"/>
      <c r="O38" s="593"/>
      <c r="P38" s="593"/>
      <c r="Q38" s="593"/>
      <c r="R38" s="593"/>
      <c r="S38" s="593"/>
      <c r="T38" s="593"/>
      <c r="U38" s="593"/>
      <c r="V38" s="593"/>
      <c r="W38" s="593"/>
      <c r="X38" s="593"/>
      <c r="Y38" s="593"/>
      <c r="Z38" s="593"/>
      <c r="AA38" s="593"/>
      <c r="AB38" s="593"/>
      <c r="AC38" s="593"/>
      <c r="AD38" s="593"/>
      <c r="AE38" s="593"/>
      <c r="AF38" s="594"/>
      <c r="AG38" s="57"/>
    </row>
    <row r="39" spans="2:33" ht="12" customHeight="1" x14ac:dyDescent="0.3">
      <c r="B39" s="55"/>
      <c r="C39" s="59"/>
      <c r="D39" s="59"/>
      <c r="E39" s="59"/>
      <c r="F39" s="30"/>
      <c r="G39" s="30"/>
      <c r="H39" s="149"/>
      <c r="I39" s="593"/>
      <c r="J39" s="593"/>
      <c r="K39" s="593"/>
      <c r="L39" s="593"/>
      <c r="M39" s="593"/>
      <c r="N39" s="593"/>
      <c r="O39" s="593"/>
      <c r="P39" s="593"/>
      <c r="Q39" s="593"/>
      <c r="R39" s="593"/>
      <c r="S39" s="593"/>
      <c r="T39" s="593"/>
      <c r="U39" s="593"/>
      <c r="V39" s="593"/>
      <c r="W39" s="593"/>
      <c r="X39" s="593"/>
      <c r="Y39" s="593"/>
      <c r="Z39" s="593"/>
      <c r="AA39" s="593"/>
      <c r="AB39" s="593"/>
      <c r="AC39" s="593"/>
      <c r="AD39" s="593"/>
      <c r="AE39" s="593"/>
      <c r="AF39" s="594"/>
      <c r="AG39" s="57"/>
    </row>
    <row r="40" spans="2:33" ht="12" customHeight="1" x14ac:dyDescent="0.3">
      <c r="B40" s="55"/>
      <c r="C40" s="59"/>
      <c r="D40" s="59"/>
      <c r="E40" s="59"/>
      <c r="F40" s="30"/>
      <c r="G40" s="30"/>
      <c r="H40" s="149"/>
      <c r="I40" s="595"/>
      <c r="J40" s="595"/>
      <c r="K40" s="595"/>
      <c r="L40" s="595"/>
      <c r="M40" s="595"/>
      <c r="N40" s="595"/>
      <c r="O40" s="595"/>
      <c r="P40" s="595"/>
      <c r="Q40" s="595"/>
      <c r="R40" s="595"/>
      <c r="S40" s="595"/>
      <c r="T40" s="595"/>
      <c r="U40" s="595"/>
      <c r="V40" s="595"/>
      <c r="W40" s="595"/>
      <c r="X40" s="595"/>
      <c r="Y40" s="595"/>
      <c r="Z40" s="595"/>
      <c r="AA40" s="595"/>
      <c r="AB40" s="595"/>
      <c r="AC40" s="595"/>
      <c r="AD40" s="595"/>
      <c r="AE40" s="595"/>
      <c r="AF40" s="596"/>
      <c r="AG40" s="57"/>
    </row>
    <row r="41" spans="2:33" ht="6" customHeight="1" thickBot="1" x14ac:dyDescent="0.35">
      <c r="B41" s="39"/>
      <c r="C41" s="43"/>
      <c r="D41" s="43"/>
      <c r="E41" s="43"/>
      <c r="F41" s="48"/>
      <c r="G41" s="48"/>
      <c r="H41" s="48"/>
      <c r="I41" s="40"/>
      <c r="J41" s="40"/>
      <c r="K41" s="40"/>
      <c r="L41" s="40"/>
      <c r="M41" s="40"/>
      <c r="N41" s="48"/>
      <c r="O41" s="48"/>
      <c r="P41" s="40"/>
      <c r="Q41" s="48"/>
      <c r="R41" s="48"/>
      <c r="S41" s="48"/>
      <c r="T41" s="43"/>
      <c r="U41" s="61"/>
      <c r="V41" s="61"/>
      <c r="W41" s="61"/>
      <c r="X41" s="61"/>
      <c r="Y41" s="61"/>
      <c r="Z41" s="61"/>
      <c r="AA41" s="61"/>
      <c r="AB41" s="61"/>
      <c r="AC41" s="61"/>
      <c r="AD41" s="61"/>
      <c r="AE41" s="43"/>
      <c r="AF41" s="43"/>
      <c r="AG41" s="49"/>
    </row>
    <row r="42" spans="2:33" ht="15" customHeight="1" thickBot="1" x14ac:dyDescent="0.35">
      <c r="B42" s="597" t="str">
        <f>HLOOKUP(Language!$B$2,Language!$C$12:$H$656,180)</f>
        <v>Non- detection</v>
      </c>
      <c r="C42" s="598"/>
      <c r="D42" s="598"/>
      <c r="E42" s="598"/>
      <c r="F42" s="598"/>
      <c r="G42" s="598"/>
      <c r="H42" s="598"/>
      <c r="I42" s="598"/>
      <c r="J42" s="598"/>
      <c r="K42" s="598"/>
      <c r="L42" s="598"/>
      <c r="M42" s="598"/>
      <c r="N42" s="598"/>
      <c r="O42" s="598"/>
      <c r="P42" s="598"/>
      <c r="Q42" s="598"/>
      <c r="R42" s="598"/>
      <c r="S42" s="598"/>
      <c r="T42" s="598"/>
      <c r="U42" s="598"/>
      <c r="V42" s="598"/>
      <c r="W42" s="598"/>
      <c r="X42" s="598"/>
      <c r="Y42" s="598"/>
      <c r="Z42" s="598"/>
      <c r="AA42" s="598"/>
      <c r="AB42" s="598"/>
      <c r="AC42" s="598"/>
      <c r="AD42" s="598"/>
      <c r="AE42" s="598"/>
      <c r="AF42" s="598"/>
      <c r="AG42" s="599"/>
    </row>
    <row r="43" spans="2:33" ht="6" customHeight="1" x14ac:dyDescent="0.3">
      <c r="B43" s="39"/>
      <c r="C43" s="43"/>
      <c r="D43" s="43"/>
      <c r="E43" s="43"/>
      <c r="F43" s="43"/>
      <c r="G43" s="48"/>
      <c r="H43" s="48"/>
      <c r="I43" s="48"/>
      <c r="J43" s="48"/>
      <c r="K43" s="48"/>
      <c r="L43" s="48"/>
      <c r="M43" s="48"/>
      <c r="N43" s="48"/>
      <c r="O43" s="48"/>
      <c r="P43" s="48"/>
      <c r="Q43" s="48"/>
      <c r="R43" s="48"/>
      <c r="S43" s="48"/>
      <c r="T43" s="48"/>
      <c r="U43" s="48"/>
      <c r="V43" s="48"/>
      <c r="W43" s="48"/>
      <c r="X43" s="48"/>
      <c r="Y43" s="48"/>
      <c r="Z43" s="48"/>
      <c r="AA43" s="48"/>
      <c r="AB43" s="48"/>
      <c r="AC43" s="48"/>
      <c r="AD43" s="48"/>
      <c r="AE43" s="43"/>
      <c r="AF43" s="43"/>
      <c r="AG43" s="49"/>
    </row>
    <row r="44" spans="2:33" ht="12" customHeight="1" x14ac:dyDescent="0.3">
      <c r="B44" s="4"/>
      <c r="C44"/>
      <c r="D44" s="101"/>
      <c r="E44" s="101"/>
      <c r="F44" s="589" t="s">
        <v>131</v>
      </c>
      <c r="G44" s="590"/>
      <c r="H44" s="590"/>
      <c r="I44" s="585"/>
      <c r="J44" s="585"/>
      <c r="K44" s="585"/>
      <c r="L44" s="585"/>
      <c r="M44" s="585"/>
      <c r="N44" s="585"/>
      <c r="O44" s="585"/>
      <c r="P44" s="585"/>
      <c r="Q44" s="585"/>
      <c r="R44" s="585"/>
      <c r="S44" s="585"/>
      <c r="T44" s="585"/>
      <c r="U44" s="585"/>
      <c r="V44" s="585"/>
      <c r="W44" s="585"/>
      <c r="X44" s="585"/>
      <c r="Y44" s="585"/>
      <c r="Z44" s="585"/>
      <c r="AA44" s="585"/>
      <c r="AB44" s="585"/>
      <c r="AC44" s="585"/>
      <c r="AD44" s="585"/>
      <c r="AE44" s="585"/>
      <c r="AF44" s="586"/>
      <c r="AG44" s="5"/>
    </row>
    <row r="45" spans="2:33" ht="12" customHeight="1" x14ac:dyDescent="0.3">
      <c r="B45" s="4"/>
      <c r="C45" s="101"/>
      <c r="D45" s="101"/>
      <c r="E45" s="101"/>
      <c r="F45" s="591"/>
      <c r="G45" s="592"/>
      <c r="H45" s="592"/>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8"/>
      <c r="AG45" s="5"/>
    </row>
    <row r="46" spans="2:33" ht="12" customHeight="1" x14ac:dyDescent="0.3">
      <c r="B46" s="4"/>
      <c r="C46" s="12"/>
      <c r="D46" s="12"/>
      <c r="E46" s="12"/>
      <c r="F46" s="147"/>
      <c r="G46" s="147"/>
      <c r="H46" s="148"/>
      <c r="I46" s="600"/>
      <c r="J46" s="593"/>
      <c r="K46" s="593"/>
      <c r="L46" s="593"/>
      <c r="M46" s="593"/>
      <c r="N46" s="593"/>
      <c r="O46" s="593"/>
      <c r="P46" s="593"/>
      <c r="Q46" s="593"/>
      <c r="R46" s="593"/>
      <c r="S46" s="593"/>
      <c r="T46" s="593"/>
      <c r="U46" s="593"/>
      <c r="V46" s="593"/>
      <c r="W46" s="593"/>
      <c r="X46" s="593"/>
      <c r="Y46" s="593"/>
      <c r="Z46" s="593"/>
      <c r="AA46" s="593"/>
      <c r="AB46" s="593"/>
      <c r="AC46" s="593"/>
      <c r="AD46" s="593"/>
      <c r="AE46" s="593"/>
      <c r="AF46" s="594"/>
      <c r="AG46" s="5"/>
    </row>
    <row r="47" spans="2:33" ht="12" customHeight="1" x14ac:dyDescent="0.3">
      <c r="B47" s="4"/>
      <c r="C47" s="12"/>
      <c r="D47" s="12"/>
      <c r="E47" s="12"/>
      <c r="F47" s="30"/>
      <c r="G47" s="30"/>
      <c r="H47" s="149"/>
      <c r="I47" s="600"/>
      <c r="J47" s="593"/>
      <c r="K47" s="593"/>
      <c r="L47" s="593"/>
      <c r="M47" s="593"/>
      <c r="N47" s="593"/>
      <c r="O47" s="593"/>
      <c r="P47" s="593"/>
      <c r="Q47" s="593"/>
      <c r="R47" s="593"/>
      <c r="S47" s="593"/>
      <c r="T47" s="593"/>
      <c r="U47" s="593"/>
      <c r="V47" s="593"/>
      <c r="W47" s="593"/>
      <c r="X47" s="593"/>
      <c r="Y47" s="593"/>
      <c r="Z47" s="593"/>
      <c r="AA47" s="593"/>
      <c r="AB47" s="593"/>
      <c r="AC47" s="593"/>
      <c r="AD47" s="593"/>
      <c r="AE47" s="593"/>
      <c r="AF47" s="594"/>
      <c r="AG47" s="5"/>
    </row>
    <row r="48" spans="2:33" ht="12" customHeight="1" x14ac:dyDescent="0.3">
      <c r="B48" s="4"/>
      <c r="C48" s="12"/>
      <c r="D48" s="12"/>
      <c r="E48" s="12"/>
      <c r="F48" s="30"/>
      <c r="G48" s="30"/>
      <c r="H48" s="149"/>
      <c r="I48" s="601"/>
      <c r="J48" s="595"/>
      <c r="K48" s="595"/>
      <c r="L48" s="595"/>
      <c r="M48" s="595"/>
      <c r="N48" s="595"/>
      <c r="O48" s="595"/>
      <c r="P48" s="595"/>
      <c r="Q48" s="595"/>
      <c r="R48" s="595"/>
      <c r="S48" s="595"/>
      <c r="T48" s="595"/>
      <c r="U48" s="595"/>
      <c r="V48" s="595"/>
      <c r="W48" s="595"/>
      <c r="X48" s="595"/>
      <c r="Y48" s="595"/>
      <c r="Z48" s="595"/>
      <c r="AA48" s="595"/>
      <c r="AB48" s="595"/>
      <c r="AC48" s="595"/>
      <c r="AD48" s="595"/>
      <c r="AE48" s="595"/>
      <c r="AF48" s="596"/>
      <c r="AG48" s="5"/>
    </row>
    <row r="49" spans="2:33" ht="12" customHeight="1" x14ac:dyDescent="0.3">
      <c r="B49" s="4"/>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5"/>
    </row>
    <row r="50" spans="2:33" ht="12" customHeight="1" x14ac:dyDescent="0.3">
      <c r="B50" s="4"/>
      <c r="C50" s="15"/>
      <c r="D50" s="15"/>
      <c r="E50" s="15"/>
      <c r="F50" s="589" t="s">
        <v>132</v>
      </c>
      <c r="G50" s="590"/>
      <c r="H50" s="590"/>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6"/>
      <c r="AG50" s="5"/>
    </row>
    <row r="51" spans="2:33" ht="12" customHeight="1" x14ac:dyDescent="0.3">
      <c r="B51" s="4"/>
      <c r="C51" s="12"/>
      <c r="D51" s="12"/>
      <c r="F51" s="591"/>
      <c r="G51" s="592"/>
      <c r="H51" s="592"/>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8"/>
      <c r="AG51" s="5"/>
    </row>
    <row r="52" spans="2:33" ht="12" customHeight="1" x14ac:dyDescent="0.3">
      <c r="B52" s="4"/>
      <c r="C52" s="15"/>
      <c r="D52" s="15"/>
      <c r="E52" s="15"/>
      <c r="F52" s="147"/>
      <c r="G52" s="147"/>
      <c r="H52" s="148"/>
      <c r="I52" s="593"/>
      <c r="J52" s="593"/>
      <c r="K52" s="593"/>
      <c r="L52" s="593"/>
      <c r="M52" s="593"/>
      <c r="N52" s="593"/>
      <c r="O52" s="593"/>
      <c r="P52" s="593"/>
      <c r="Q52" s="593"/>
      <c r="R52" s="593"/>
      <c r="S52" s="593"/>
      <c r="T52" s="593"/>
      <c r="U52" s="593"/>
      <c r="V52" s="593"/>
      <c r="W52" s="593"/>
      <c r="X52" s="593"/>
      <c r="Y52" s="593"/>
      <c r="Z52" s="593"/>
      <c r="AA52" s="593"/>
      <c r="AB52" s="593"/>
      <c r="AC52" s="593"/>
      <c r="AD52" s="593"/>
      <c r="AE52" s="593"/>
      <c r="AF52" s="594"/>
      <c r="AG52" s="5"/>
    </row>
    <row r="53" spans="2:33" ht="12" customHeight="1" x14ac:dyDescent="0.3">
      <c r="B53" s="4"/>
      <c r="C53" s="44"/>
      <c r="D53" s="44"/>
      <c r="E53" s="44"/>
      <c r="F53" s="30"/>
      <c r="G53" s="30"/>
      <c r="H53" s="149"/>
      <c r="I53" s="593"/>
      <c r="J53" s="593"/>
      <c r="K53" s="593"/>
      <c r="L53" s="593"/>
      <c r="M53" s="593"/>
      <c r="N53" s="593"/>
      <c r="O53" s="593"/>
      <c r="P53" s="593"/>
      <c r="Q53" s="593"/>
      <c r="R53" s="593"/>
      <c r="S53" s="593"/>
      <c r="T53" s="593"/>
      <c r="U53" s="593"/>
      <c r="V53" s="593"/>
      <c r="W53" s="593"/>
      <c r="X53" s="593"/>
      <c r="Y53" s="593"/>
      <c r="Z53" s="593"/>
      <c r="AA53" s="593"/>
      <c r="AB53" s="593"/>
      <c r="AC53" s="593"/>
      <c r="AD53" s="593"/>
      <c r="AE53" s="593"/>
      <c r="AF53" s="594"/>
      <c r="AG53" s="5"/>
    </row>
    <row r="54" spans="2:33" ht="12" customHeight="1" x14ac:dyDescent="0.3">
      <c r="B54" s="4"/>
      <c r="C54" s="30"/>
      <c r="D54" s="30"/>
      <c r="E54" s="30"/>
      <c r="F54" s="30"/>
      <c r="G54" s="30"/>
      <c r="H54" s="149"/>
      <c r="I54" s="595"/>
      <c r="J54" s="595"/>
      <c r="K54" s="595"/>
      <c r="L54" s="595"/>
      <c r="M54" s="595"/>
      <c r="N54" s="595"/>
      <c r="O54" s="595"/>
      <c r="P54" s="595"/>
      <c r="Q54" s="595"/>
      <c r="R54" s="595"/>
      <c r="S54" s="595"/>
      <c r="T54" s="595"/>
      <c r="U54" s="595"/>
      <c r="V54" s="595"/>
      <c r="W54" s="595"/>
      <c r="X54" s="595"/>
      <c r="Y54" s="595"/>
      <c r="Z54" s="595"/>
      <c r="AA54" s="595"/>
      <c r="AB54" s="595"/>
      <c r="AC54" s="595"/>
      <c r="AD54" s="595"/>
      <c r="AE54" s="595"/>
      <c r="AF54" s="596"/>
      <c r="AG54" s="5"/>
    </row>
    <row r="55" spans="2:33" ht="12" customHeight="1" x14ac:dyDescent="0.3">
      <c r="B55" s="4"/>
      <c r="C55" s="30"/>
      <c r="D55" s="30"/>
      <c r="E55" s="30"/>
      <c r="F55" s="30"/>
      <c r="G55" s="30"/>
      <c r="H55" s="30"/>
      <c r="I55" s="30"/>
      <c r="J55" s="30"/>
      <c r="K55" s="46"/>
      <c r="L55" s="46"/>
      <c r="M55" s="46"/>
      <c r="N55" s="30"/>
      <c r="O55" s="30"/>
      <c r="P55" s="30"/>
      <c r="Q55" s="30"/>
      <c r="R55" s="30"/>
      <c r="S55" s="46"/>
      <c r="T55" s="46"/>
      <c r="U55" s="46"/>
      <c r="V55" s="46"/>
      <c r="W55" s="46"/>
      <c r="X55" s="46"/>
      <c r="Y55" s="30"/>
      <c r="Z55" s="30"/>
      <c r="AA55" s="30"/>
      <c r="AB55" s="30"/>
      <c r="AC55" s="30"/>
      <c r="AD55" s="30"/>
      <c r="AE55" s="30"/>
      <c r="AF55" s="30"/>
      <c r="AG55" s="5"/>
    </row>
    <row r="56" spans="2:33" ht="12" customHeight="1" x14ac:dyDescent="0.3">
      <c r="B56" s="4"/>
      <c r="C56" s="12"/>
      <c r="D56" s="12"/>
      <c r="E56" s="12"/>
      <c r="F56" s="589" t="s">
        <v>133</v>
      </c>
      <c r="G56" s="590"/>
      <c r="H56" s="590"/>
      <c r="I56" s="585"/>
      <c r="J56" s="585"/>
      <c r="K56" s="585"/>
      <c r="L56" s="585"/>
      <c r="M56" s="585"/>
      <c r="N56" s="585"/>
      <c r="O56" s="585"/>
      <c r="P56" s="585"/>
      <c r="Q56" s="585"/>
      <c r="R56" s="585"/>
      <c r="S56" s="585"/>
      <c r="T56" s="585"/>
      <c r="U56" s="585"/>
      <c r="V56" s="585"/>
      <c r="W56" s="585"/>
      <c r="X56" s="585"/>
      <c r="Y56" s="585"/>
      <c r="Z56" s="585"/>
      <c r="AA56" s="585"/>
      <c r="AB56" s="585"/>
      <c r="AC56" s="585"/>
      <c r="AD56" s="585"/>
      <c r="AE56" s="585"/>
      <c r="AF56" s="586"/>
      <c r="AG56" s="5"/>
    </row>
    <row r="57" spans="2:33" ht="12" customHeight="1" x14ac:dyDescent="0.3">
      <c r="B57" s="4"/>
      <c r="C57" s="42"/>
      <c r="D57" s="42"/>
      <c r="E57" s="42"/>
      <c r="F57" s="591"/>
      <c r="G57" s="592"/>
      <c r="H57" s="592"/>
      <c r="I57" s="587"/>
      <c r="J57" s="587"/>
      <c r="K57" s="587"/>
      <c r="L57" s="587"/>
      <c r="M57" s="587"/>
      <c r="N57" s="587"/>
      <c r="O57" s="587"/>
      <c r="P57" s="587"/>
      <c r="Q57" s="587"/>
      <c r="R57" s="587"/>
      <c r="S57" s="587"/>
      <c r="T57" s="587"/>
      <c r="U57" s="587"/>
      <c r="V57" s="587"/>
      <c r="W57" s="587"/>
      <c r="X57" s="587"/>
      <c r="Y57" s="587"/>
      <c r="Z57" s="587"/>
      <c r="AA57" s="587"/>
      <c r="AB57" s="587"/>
      <c r="AC57" s="587"/>
      <c r="AD57" s="587"/>
      <c r="AE57" s="587"/>
      <c r="AF57" s="588"/>
      <c r="AG57" s="5"/>
    </row>
    <row r="58" spans="2:33" ht="12" customHeight="1" x14ac:dyDescent="0.3">
      <c r="B58" s="31"/>
      <c r="C58" s="37"/>
      <c r="D58" s="37"/>
      <c r="E58"/>
      <c r="F58" s="147"/>
      <c r="G58" s="147"/>
      <c r="H58" s="148"/>
      <c r="I58" s="593"/>
      <c r="J58" s="593"/>
      <c r="K58" s="593"/>
      <c r="L58" s="593"/>
      <c r="M58" s="593"/>
      <c r="N58" s="593"/>
      <c r="O58" s="593"/>
      <c r="P58" s="593"/>
      <c r="Q58" s="593"/>
      <c r="R58" s="593"/>
      <c r="S58" s="593"/>
      <c r="T58" s="593"/>
      <c r="U58" s="593"/>
      <c r="V58" s="593"/>
      <c r="W58" s="593"/>
      <c r="X58" s="593"/>
      <c r="Y58" s="593"/>
      <c r="Z58" s="593"/>
      <c r="AA58" s="593"/>
      <c r="AB58" s="593"/>
      <c r="AC58" s="593"/>
      <c r="AD58" s="593"/>
      <c r="AE58" s="593"/>
      <c r="AF58" s="594"/>
      <c r="AG58" s="32"/>
    </row>
    <row r="59" spans="2:33" ht="12" customHeight="1" x14ac:dyDescent="0.3">
      <c r="B59" s="31"/>
      <c r="C59" s="37"/>
      <c r="D59" s="37"/>
      <c r="E59" s="37"/>
      <c r="F59" s="30"/>
      <c r="G59" s="30"/>
      <c r="H59" s="149"/>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4"/>
      <c r="AG59" s="32"/>
    </row>
    <row r="60" spans="2:33" ht="12" customHeight="1" x14ac:dyDescent="0.3">
      <c r="B60" s="4"/>
      <c r="C60" s="37"/>
      <c r="D60" s="37"/>
      <c r="E60" s="37"/>
      <c r="F60" s="30"/>
      <c r="G60" s="30"/>
      <c r="H60" s="149"/>
      <c r="I60" s="595"/>
      <c r="J60" s="595"/>
      <c r="K60" s="595"/>
      <c r="L60" s="595"/>
      <c r="M60" s="595"/>
      <c r="N60" s="595"/>
      <c r="O60" s="595"/>
      <c r="P60" s="595"/>
      <c r="Q60" s="595"/>
      <c r="R60" s="595"/>
      <c r="S60" s="595"/>
      <c r="T60" s="595"/>
      <c r="U60" s="595"/>
      <c r="V60" s="595"/>
      <c r="W60" s="595"/>
      <c r="X60" s="595"/>
      <c r="Y60" s="595"/>
      <c r="Z60" s="595"/>
      <c r="AA60" s="595"/>
      <c r="AB60" s="595"/>
      <c r="AC60" s="595"/>
      <c r="AD60" s="595"/>
      <c r="AE60" s="595"/>
      <c r="AF60" s="596"/>
      <c r="AG60" s="5"/>
    </row>
    <row r="61" spans="2:33" ht="12" customHeight="1" x14ac:dyDescent="0.3">
      <c r="B61" s="4"/>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5"/>
    </row>
    <row r="62" spans="2:33" ht="12" customHeight="1" x14ac:dyDescent="0.3">
      <c r="B62" s="4"/>
      <c r="C62" s="56"/>
      <c r="D62" s="56"/>
      <c r="E62" s="56"/>
      <c r="F62" s="589" t="s">
        <v>134</v>
      </c>
      <c r="G62" s="590"/>
      <c r="H62" s="590"/>
      <c r="I62" s="585"/>
      <c r="J62" s="585"/>
      <c r="K62" s="585"/>
      <c r="L62" s="585"/>
      <c r="M62" s="585"/>
      <c r="N62" s="585"/>
      <c r="O62" s="585"/>
      <c r="P62" s="585"/>
      <c r="Q62" s="585"/>
      <c r="R62" s="585"/>
      <c r="S62" s="585"/>
      <c r="T62" s="585"/>
      <c r="U62" s="585"/>
      <c r="V62" s="585"/>
      <c r="W62" s="585"/>
      <c r="X62" s="585"/>
      <c r="Y62" s="585"/>
      <c r="Z62" s="585"/>
      <c r="AA62" s="585"/>
      <c r="AB62" s="585"/>
      <c r="AC62" s="585"/>
      <c r="AD62" s="585"/>
      <c r="AE62" s="585"/>
      <c r="AF62" s="586"/>
      <c r="AG62" s="5"/>
    </row>
    <row r="63" spans="2:33" ht="12" customHeight="1" x14ac:dyDescent="0.3">
      <c r="B63" s="4"/>
      <c r="C63" s="48"/>
      <c r="D63" s="48"/>
      <c r="E63" s="48"/>
      <c r="F63" s="591"/>
      <c r="G63" s="592"/>
      <c r="H63" s="592"/>
      <c r="I63" s="587"/>
      <c r="J63" s="587"/>
      <c r="K63" s="587"/>
      <c r="L63" s="587"/>
      <c r="M63" s="587"/>
      <c r="N63" s="587"/>
      <c r="O63" s="587"/>
      <c r="P63" s="587"/>
      <c r="Q63" s="587"/>
      <c r="R63" s="587"/>
      <c r="S63" s="587"/>
      <c r="T63" s="587"/>
      <c r="U63" s="587"/>
      <c r="V63" s="587"/>
      <c r="W63" s="587"/>
      <c r="X63" s="587"/>
      <c r="Y63" s="587"/>
      <c r="Z63" s="587"/>
      <c r="AA63" s="587"/>
      <c r="AB63" s="587"/>
      <c r="AC63" s="587"/>
      <c r="AD63" s="587"/>
      <c r="AE63" s="587"/>
      <c r="AF63" s="588"/>
      <c r="AG63" s="5"/>
    </row>
    <row r="64" spans="2:33" ht="12" customHeight="1" x14ac:dyDescent="0.3">
      <c r="B64" s="4"/>
      <c r="C64" s="60"/>
      <c r="D64" s="60"/>
      <c r="E64" s="60"/>
      <c r="F64" s="147"/>
      <c r="G64" s="147"/>
      <c r="H64" s="148"/>
      <c r="I64" s="593"/>
      <c r="J64" s="593"/>
      <c r="K64" s="593"/>
      <c r="L64" s="593"/>
      <c r="M64" s="593"/>
      <c r="N64" s="593"/>
      <c r="O64" s="593"/>
      <c r="P64" s="593"/>
      <c r="Q64" s="593"/>
      <c r="R64" s="593"/>
      <c r="S64" s="593"/>
      <c r="T64" s="593"/>
      <c r="U64" s="593"/>
      <c r="V64" s="593"/>
      <c r="W64" s="593"/>
      <c r="X64" s="593"/>
      <c r="Y64" s="593"/>
      <c r="Z64" s="593"/>
      <c r="AA64" s="593"/>
      <c r="AB64" s="593"/>
      <c r="AC64" s="593"/>
      <c r="AD64" s="593"/>
      <c r="AE64" s="593"/>
      <c r="AF64" s="594"/>
      <c r="AG64" s="5"/>
    </row>
    <row r="65" spans="2:33" ht="12" customHeight="1" x14ac:dyDescent="0.3">
      <c r="B65" s="4"/>
      <c r="C65" s="43"/>
      <c r="D65" s="43"/>
      <c r="E65" s="43"/>
      <c r="F65" s="30"/>
      <c r="G65" s="30"/>
      <c r="H65" s="149"/>
      <c r="I65" s="593"/>
      <c r="J65" s="593"/>
      <c r="K65" s="593"/>
      <c r="L65" s="593"/>
      <c r="M65" s="593"/>
      <c r="N65" s="593"/>
      <c r="O65" s="593"/>
      <c r="P65" s="593"/>
      <c r="Q65" s="593"/>
      <c r="R65" s="593"/>
      <c r="S65" s="593"/>
      <c r="T65" s="593"/>
      <c r="U65" s="593"/>
      <c r="V65" s="593"/>
      <c r="W65" s="593"/>
      <c r="X65" s="593"/>
      <c r="Y65" s="593"/>
      <c r="Z65" s="593"/>
      <c r="AA65" s="593"/>
      <c r="AB65" s="593"/>
      <c r="AC65" s="593"/>
      <c r="AD65" s="593"/>
      <c r="AE65" s="593"/>
      <c r="AF65" s="594"/>
      <c r="AG65" s="5"/>
    </row>
    <row r="66" spans="2:33" ht="12" customHeight="1" x14ac:dyDescent="0.3">
      <c r="B66" s="4"/>
      <c r="C66" s="43"/>
      <c r="D66" s="43"/>
      <c r="E66" s="43"/>
      <c r="F66" s="30"/>
      <c r="G66" s="30"/>
      <c r="H66" s="149"/>
      <c r="I66" s="595"/>
      <c r="J66" s="595"/>
      <c r="K66" s="595"/>
      <c r="L66" s="595"/>
      <c r="M66" s="595"/>
      <c r="N66" s="595"/>
      <c r="O66" s="595"/>
      <c r="P66" s="595"/>
      <c r="Q66" s="595"/>
      <c r="R66" s="595"/>
      <c r="S66" s="595"/>
      <c r="T66" s="595"/>
      <c r="U66" s="595"/>
      <c r="V66" s="595"/>
      <c r="W66" s="595"/>
      <c r="X66" s="595"/>
      <c r="Y66" s="595"/>
      <c r="Z66" s="595"/>
      <c r="AA66" s="595"/>
      <c r="AB66" s="595"/>
      <c r="AC66" s="595"/>
      <c r="AD66" s="595"/>
      <c r="AE66" s="595"/>
      <c r="AF66" s="596"/>
      <c r="AG66" s="5"/>
    </row>
    <row r="67" spans="2:33" ht="12" customHeight="1" x14ac:dyDescent="0.3">
      <c r="B67" s="4"/>
      <c r="C67" s="43"/>
      <c r="D67" s="43"/>
      <c r="E67" s="43"/>
      <c r="F67" s="43"/>
      <c r="G67" s="43"/>
      <c r="H67" s="43"/>
      <c r="I67" s="43"/>
      <c r="J67" s="43"/>
      <c r="K67" s="43"/>
      <c r="L67" s="43"/>
      <c r="M67" s="43"/>
      <c r="N67" s="43"/>
      <c r="O67" s="43"/>
      <c r="P67" s="43"/>
      <c r="Q67" s="43"/>
      <c r="R67" s="43"/>
      <c r="S67" s="43"/>
      <c r="T67" s="59"/>
      <c r="U67" s="37"/>
      <c r="V67" s="37"/>
      <c r="W67" s="37"/>
      <c r="X67" s="37"/>
      <c r="Y67" s="37"/>
      <c r="Z67" s="37"/>
      <c r="AA67" s="37"/>
      <c r="AB67" s="37"/>
      <c r="AC67" s="37"/>
      <c r="AD67" s="37"/>
      <c r="AE67" s="59"/>
      <c r="AF67" s="59"/>
      <c r="AG67" s="5"/>
    </row>
    <row r="68" spans="2:33" ht="12" customHeight="1" x14ac:dyDescent="0.3">
      <c r="B68" s="4"/>
      <c r="C68" s="59"/>
      <c r="D68" s="59"/>
      <c r="E68" s="59"/>
      <c r="F68" s="589" t="s">
        <v>135</v>
      </c>
      <c r="G68" s="590"/>
      <c r="H68" s="590"/>
      <c r="I68" s="585"/>
      <c r="J68" s="585"/>
      <c r="K68" s="585"/>
      <c r="L68" s="585"/>
      <c r="M68" s="585"/>
      <c r="N68" s="585"/>
      <c r="O68" s="585"/>
      <c r="P68" s="585"/>
      <c r="Q68" s="585"/>
      <c r="R68" s="585"/>
      <c r="S68" s="585"/>
      <c r="T68" s="585"/>
      <c r="U68" s="585"/>
      <c r="V68" s="585"/>
      <c r="W68" s="585"/>
      <c r="X68" s="585"/>
      <c r="Y68" s="585"/>
      <c r="Z68" s="585"/>
      <c r="AA68" s="585"/>
      <c r="AB68" s="585"/>
      <c r="AC68" s="585"/>
      <c r="AD68" s="585"/>
      <c r="AE68" s="585"/>
      <c r="AF68" s="586"/>
      <c r="AG68" s="5"/>
    </row>
    <row r="69" spans="2:33" ht="12" customHeight="1" x14ac:dyDescent="0.3">
      <c r="B69" s="4"/>
      <c r="C69" s="59"/>
      <c r="D69" s="59"/>
      <c r="E69" s="59"/>
      <c r="F69" s="591"/>
      <c r="G69" s="592"/>
      <c r="H69" s="592"/>
      <c r="I69" s="587"/>
      <c r="J69" s="587"/>
      <c r="K69" s="587"/>
      <c r="L69" s="587"/>
      <c r="M69" s="587"/>
      <c r="N69" s="587"/>
      <c r="O69" s="587"/>
      <c r="P69" s="587"/>
      <c r="Q69" s="587"/>
      <c r="R69" s="587"/>
      <c r="S69" s="587"/>
      <c r="T69" s="587"/>
      <c r="U69" s="587"/>
      <c r="V69" s="587"/>
      <c r="W69" s="587"/>
      <c r="X69" s="587"/>
      <c r="Y69" s="587"/>
      <c r="Z69" s="587"/>
      <c r="AA69" s="587"/>
      <c r="AB69" s="587"/>
      <c r="AC69" s="587"/>
      <c r="AD69" s="587"/>
      <c r="AE69" s="587"/>
      <c r="AF69" s="588"/>
      <c r="AG69" s="5"/>
    </row>
    <row r="70" spans="2:33" ht="12" customHeight="1" x14ac:dyDescent="0.3">
      <c r="B70" s="4"/>
      <c r="C70" s="59"/>
      <c r="D70" s="59"/>
      <c r="E70" s="59"/>
      <c r="F70" s="147"/>
      <c r="G70" s="147"/>
      <c r="H70" s="148"/>
      <c r="I70" s="593"/>
      <c r="J70" s="593"/>
      <c r="K70" s="593"/>
      <c r="L70" s="593"/>
      <c r="M70" s="593"/>
      <c r="N70" s="593"/>
      <c r="O70" s="593"/>
      <c r="P70" s="593"/>
      <c r="Q70" s="593"/>
      <c r="R70" s="593"/>
      <c r="S70" s="593"/>
      <c r="T70" s="593"/>
      <c r="U70" s="593"/>
      <c r="V70" s="593"/>
      <c r="W70" s="593"/>
      <c r="X70" s="593"/>
      <c r="Y70" s="593"/>
      <c r="Z70" s="593"/>
      <c r="AA70" s="593"/>
      <c r="AB70" s="593"/>
      <c r="AC70" s="593"/>
      <c r="AD70" s="593"/>
      <c r="AE70" s="593"/>
      <c r="AF70" s="594"/>
      <c r="AG70" s="5"/>
    </row>
    <row r="71" spans="2:33" ht="12" customHeight="1" x14ac:dyDescent="0.3">
      <c r="B71" s="31"/>
      <c r="C71" s="59"/>
      <c r="D71" s="59"/>
      <c r="E71" s="59"/>
      <c r="F71" s="30"/>
      <c r="G71" s="30"/>
      <c r="H71" s="149"/>
      <c r="I71" s="593"/>
      <c r="J71" s="593"/>
      <c r="K71" s="593"/>
      <c r="L71" s="593"/>
      <c r="M71" s="593"/>
      <c r="N71" s="593"/>
      <c r="O71" s="593"/>
      <c r="P71" s="593"/>
      <c r="Q71" s="593"/>
      <c r="R71" s="593"/>
      <c r="S71" s="593"/>
      <c r="T71" s="593"/>
      <c r="U71" s="593"/>
      <c r="V71" s="593"/>
      <c r="W71" s="593"/>
      <c r="X71" s="593"/>
      <c r="Y71" s="593"/>
      <c r="Z71" s="593"/>
      <c r="AA71" s="593"/>
      <c r="AB71" s="593"/>
      <c r="AC71" s="593"/>
      <c r="AD71" s="593"/>
      <c r="AE71" s="593"/>
      <c r="AF71" s="594"/>
      <c r="AG71" s="32"/>
    </row>
    <row r="72" spans="2:33" ht="12" customHeight="1" thickBot="1" x14ac:dyDescent="0.35">
      <c r="B72" s="161"/>
      <c r="C72" s="162"/>
      <c r="D72" s="162"/>
      <c r="E72" s="162"/>
      <c r="F72" s="163"/>
      <c r="G72" s="163"/>
      <c r="H72" s="164"/>
      <c r="I72" s="602"/>
      <c r="J72" s="602"/>
      <c r="K72" s="602"/>
      <c r="L72" s="602"/>
      <c r="M72" s="602"/>
      <c r="N72" s="602"/>
      <c r="O72" s="602"/>
      <c r="P72" s="602"/>
      <c r="Q72" s="602"/>
      <c r="R72" s="602"/>
      <c r="S72" s="602"/>
      <c r="T72" s="602"/>
      <c r="U72" s="602"/>
      <c r="V72" s="602"/>
      <c r="W72" s="602"/>
      <c r="X72" s="602"/>
      <c r="Y72" s="602"/>
      <c r="Z72" s="602"/>
      <c r="AA72" s="602"/>
      <c r="AB72" s="602"/>
      <c r="AC72" s="602"/>
      <c r="AD72" s="602"/>
      <c r="AE72" s="602"/>
      <c r="AF72" s="603"/>
      <c r="AG72" s="115"/>
    </row>
    <row r="73" spans="2:33" ht="12" customHeight="1" x14ac:dyDescent="0.3"/>
    <row r="74" spans="2:33" ht="12" customHeight="1" x14ac:dyDescent="0.3"/>
    <row r="75" spans="2:33" ht="12" customHeight="1" x14ac:dyDescent="0.3"/>
    <row r="76" spans="2:33" ht="12" customHeight="1" x14ac:dyDescent="0.3"/>
    <row r="77" spans="2:33" ht="12" customHeight="1" x14ac:dyDescent="0.3"/>
    <row r="78" spans="2:33" ht="12" customHeight="1" x14ac:dyDescent="0.3"/>
    <row r="79" spans="2:33" ht="12" customHeight="1" x14ac:dyDescent="0.3"/>
  </sheetData>
  <sheetProtection algorithmName="SHA-512" hashValue="45zh/SFBJy78Y6tF10iFFCniAfD+PEWQ5v9COs/D6SYyhO5lCroG15E+AF9+9+yRdUJKBXad4KJv/Fm68xccgQ==" saltValue="pCOxYGbnuh6I9daAz2TAMg==" spinCount="100000" sheet="1" objects="1" scenarios="1" formatCells="0" selectLockedCells="1"/>
  <mergeCells count="56">
    <mergeCell ref="I26:AF28"/>
    <mergeCell ref="Z1:AG3"/>
    <mergeCell ref="C7:G7"/>
    <mergeCell ref="H7:Q7"/>
    <mergeCell ref="R7:V7"/>
    <mergeCell ref="W7:AF7"/>
    <mergeCell ref="B1:Y2"/>
    <mergeCell ref="B3:F3"/>
    <mergeCell ref="G3:S3"/>
    <mergeCell ref="B4:F4"/>
    <mergeCell ref="G4:L4"/>
    <mergeCell ref="M4:S4"/>
    <mergeCell ref="T4:Y4"/>
    <mergeCell ref="T3:V3"/>
    <mergeCell ref="W3:Y3"/>
    <mergeCell ref="AE4:AF5"/>
    <mergeCell ref="B5:F5"/>
    <mergeCell ref="F68:H69"/>
    <mergeCell ref="I68:AF69"/>
    <mergeCell ref="I62:AF63"/>
    <mergeCell ref="I56:AF57"/>
    <mergeCell ref="I70:AF72"/>
    <mergeCell ref="I64:AF66"/>
    <mergeCell ref="I58:AF60"/>
    <mergeCell ref="F56:H57"/>
    <mergeCell ref="F62:H63"/>
    <mergeCell ref="I52:AF54"/>
    <mergeCell ref="I50:AF51"/>
    <mergeCell ref="B42:AG42"/>
    <mergeCell ref="F44:H45"/>
    <mergeCell ref="F50:H51"/>
    <mergeCell ref="I46:AF48"/>
    <mergeCell ref="B10:AG10"/>
    <mergeCell ref="I36:AF37"/>
    <mergeCell ref="I44:AF45"/>
    <mergeCell ref="F36:H37"/>
    <mergeCell ref="F18:H19"/>
    <mergeCell ref="F24:H25"/>
    <mergeCell ref="I18:AF19"/>
    <mergeCell ref="F30:H31"/>
    <mergeCell ref="I32:AF34"/>
    <mergeCell ref="I38:AF40"/>
    <mergeCell ref="I24:AF25"/>
    <mergeCell ref="I30:AF31"/>
    <mergeCell ref="F12:H13"/>
    <mergeCell ref="I12:AF13"/>
    <mergeCell ref="I14:AF16"/>
    <mergeCell ref="I20:AF22"/>
    <mergeCell ref="G5:L5"/>
    <mergeCell ref="M5:S5"/>
    <mergeCell ref="T5:Y5"/>
    <mergeCell ref="AA4:AD5"/>
    <mergeCell ref="C8:G8"/>
    <mergeCell ref="H8:Q8"/>
    <mergeCell ref="R8:V8"/>
    <mergeCell ref="W8:AF8"/>
  </mergeCells>
  <conditionalFormatting sqref="G3:S3 W3:Y3 G4:L4">
    <cfRule type="cellIs" dxfId="31" priority="1" operator="equal">
      <formula>""</formula>
    </cfRule>
  </conditionalFormatting>
  <conditionalFormatting sqref="H7:Q8 W7:AF8">
    <cfRule type="cellIs" dxfId="30" priority="44" operator="equal">
      <formula>""</formula>
    </cfRule>
  </conditionalFormatting>
  <conditionalFormatting sqref="T4:Y5 G5">
    <cfRule type="cellIs" dxfId="29" priority="45" operator="equal">
      <formula>""</formula>
    </cfRule>
  </conditionalFormatting>
  <dataValidations count="1">
    <dataValidation type="list" allowBlank="1" showInputMessage="1" showErrorMessage="1" sqref="AD9:AF9" xr:uid="{04AEA007-D3CC-41D2-A874-2E891EE35977}">
      <formula1>#REF!</formula1>
    </dataValidation>
  </dataValidations>
  <pageMargins left="0.31496062992125984" right="0.31496062992125984" top="0.31496062992125984" bottom="0.31496062992125984" header="0" footer="0"/>
  <pageSetup paperSize="9" scale="90" fitToWidth="0" fitToHeight="0" orientation="portrait" r:id="rId1"/>
  <headerFooter scaleWithDoc="0"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7AD07-9F92-4EA9-9461-BD4D1F01C6A1}">
  <sheetPr>
    <tabColor rgb="FF00B050"/>
    <pageSetUpPr fitToPage="1"/>
  </sheetPr>
  <dimension ref="B1:BE79"/>
  <sheetViews>
    <sheetView showGridLines="0" topLeftCell="A13" zoomScale="110" zoomScaleNormal="110" zoomScaleSheetLayoutView="130" workbookViewId="0">
      <selection activeCell="AA53" sqref="AA53:AC53"/>
    </sheetView>
  </sheetViews>
  <sheetFormatPr baseColWidth="10" defaultColWidth="10.88671875" defaultRowHeight="14.4" x14ac:dyDescent="0.3"/>
  <cols>
    <col min="2" max="11" width="3.33203125" style="7" customWidth="1"/>
    <col min="12" max="12" width="6.33203125" style="7" customWidth="1"/>
    <col min="13" max="18" width="3.33203125" style="7" customWidth="1"/>
    <col min="19" max="19" width="4.77734375" style="7" customWidth="1"/>
    <col min="20" max="24" width="3.33203125" style="7" customWidth="1"/>
    <col min="25" max="25" width="5.109375" style="7" customWidth="1"/>
    <col min="26" max="26" width="3.109375" style="7" customWidth="1"/>
    <col min="27" max="33" width="3.33203125" style="7" customWidth="1"/>
    <col min="35" max="35" width="8.109375" style="192" customWidth="1"/>
    <col min="36" max="36" width="5.44140625" style="192" customWidth="1"/>
    <col min="37" max="37" width="5.109375" style="193" customWidth="1"/>
    <col min="38" max="38" width="11.6640625" style="217" customWidth="1"/>
    <col min="39" max="39" width="7.6640625" style="192" customWidth="1"/>
    <col min="40" max="40" width="87" style="193" customWidth="1"/>
    <col min="41" max="42" width="11.5546875" style="194"/>
  </cols>
  <sheetData>
    <row r="1" spans="2:57" ht="12" customHeight="1" x14ac:dyDescent="0.3">
      <c r="B1" s="333" t="str">
        <f>HLOOKUP(Language!$B$2,Language!$C$12:$H$656,185)</f>
        <v>Assessment 8D- Report</v>
      </c>
      <c r="C1" s="334"/>
      <c r="D1" s="334"/>
      <c r="E1" s="334"/>
      <c r="F1" s="334"/>
      <c r="G1" s="334"/>
      <c r="H1" s="334"/>
      <c r="I1" s="334"/>
      <c r="J1" s="334"/>
      <c r="K1" s="334"/>
      <c r="L1" s="334"/>
      <c r="M1" s="334"/>
      <c r="N1" s="334"/>
      <c r="O1" s="334"/>
      <c r="P1" s="334"/>
      <c r="Q1" s="334"/>
      <c r="R1" s="334"/>
      <c r="S1" s="334"/>
      <c r="T1" s="334"/>
      <c r="U1" s="334"/>
      <c r="V1" s="334"/>
      <c r="W1" s="334"/>
      <c r="X1" s="334"/>
      <c r="Y1" s="334"/>
      <c r="Z1" s="268" t="e" vm="1">
        <v>#VALUE!</v>
      </c>
      <c r="AA1" s="269"/>
      <c r="AB1" s="269"/>
      <c r="AC1" s="269"/>
      <c r="AD1" s="269"/>
      <c r="AE1" s="269"/>
      <c r="AF1" s="269"/>
      <c r="AG1" s="270"/>
    </row>
    <row r="2" spans="2:57" ht="12" customHeight="1" x14ac:dyDescent="0.3">
      <c r="B2" s="335"/>
      <c r="C2" s="336"/>
      <c r="D2" s="336"/>
      <c r="E2" s="336"/>
      <c r="F2" s="336"/>
      <c r="G2" s="336"/>
      <c r="H2" s="336"/>
      <c r="I2" s="336"/>
      <c r="J2" s="336"/>
      <c r="K2" s="336"/>
      <c r="L2" s="336"/>
      <c r="M2" s="336"/>
      <c r="N2" s="336"/>
      <c r="O2" s="336"/>
      <c r="P2" s="336"/>
      <c r="Q2" s="336"/>
      <c r="R2" s="336"/>
      <c r="S2" s="336"/>
      <c r="T2" s="336"/>
      <c r="U2" s="336"/>
      <c r="V2" s="336"/>
      <c r="W2" s="336"/>
      <c r="X2" s="336"/>
      <c r="Y2" s="336"/>
      <c r="Z2" s="271"/>
      <c r="AA2" s="272"/>
      <c r="AB2" s="272"/>
      <c r="AC2" s="272"/>
      <c r="AD2" s="272"/>
      <c r="AE2" s="272"/>
      <c r="AF2" s="272"/>
      <c r="AG2" s="273"/>
    </row>
    <row r="3" spans="2:57" ht="31.05" customHeight="1" x14ac:dyDescent="0.3">
      <c r="B3" s="337" t="str">
        <f>HLOOKUP(Language!$B$2,Language!$C$12:$H$656,8)</f>
        <v>Contact Person (Customer):</v>
      </c>
      <c r="C3" s="338"/>
      <c r="D3" s="338"/>
      <c r="E3" s="338"/>
      <c r="F3" s="339"/>
      <c r="G3" s="338" t="str">
        <f>IF('D1-D3'!$G$3="","",'D1-D3'!$G$3)</f>
        <v/>
      </c>
      <c r="H3" s="338"/>
      <c r="I3" s="338"/>
      <c r="J3" s="338"/>
      <c r="K3" s="338"/>
      <c r="L3" s="338"/>
      <c r="M3" s="338"/>
      <c r="N3" s="338"/>
      <c r="O3" s="338"/>
      <c r="P3" s="338"/>
      <c r="Q3" s="338"/>
      <c r="R3" s="338"/>
      <c r="S3" s="338"/>
      <c r="T3" s="349" t="str">
        <f>HLOOKUP(Language!$B$2,Language!$C$12:$H$656,5)</f>
        <v>8D started on:</v>
      </c>
      <c r="U3" s="338"/>
      <c r="V3" s="339"/>
      <c r="W3" s="411" t="str">
        <f>IF('D1-D3'!$W$3="","",'D1-D3'!$W$3)</f>
        <v/>
      </c>
      <c r="X3" s="411"/>
      <c r="Y3" s="412"/>
      <c r="Z3" s="271"/>
      <c r="AA3" s="272"/>
      <c r="AB3" s="272"/>
      <c r="AC3" s="272"/>
      <c r="AD3" s="272"/>
      <c r="AE3" s="272"/>
      <c r="AF3" s="272"/>
      <c r="AG3" s="273"/>
      <c r="AI3" s="195"/>
      <c r="AJ3" s="195"/>
    </row>
    <row r="4" spans="2:57" ht="12" customHeight="1" thickBot="1" x14ac:dyDescent="0.35">
      <c r="B4" s="340" t="str">
        <f>HLOOKUP(Language!$B$2,Language!$C$12:$H$656,7)</f>
        <v>Customer:</v>
      </c>
      <c r="C4" s="311"/>
      <c r="D4" s="311"/>
      <c r="E4" s="311"/>
      <c r="F4" s="312"/>
      <c r="G4" s="395" t="str">
        <f>IF('D1-D3'!$G$4="","",'D1-D3'!$G$4)</f>
        <v/>
      </c>
      <c r="H4" s="396"/>
      <c r="I4" s="396"/>
      <c r="J4" s="396"/>
      <c r="K4" s="396"/>
      <c r="L4" s="397"/>
      <c r="M4" s="310" t="str">
        <f>HLOOKUP(Language!$B$2,Language!$C$12:$H$656,15)</f>
        <v>Supplier:</v>
      </c>
      <c r="N4" s="311"/>
      <c r="O4" s="311"/>
      <c r="P4" s="311"/>
      <c r="Q4" s="311"/>
      <c r="R4" s="311"/>
      <c r="S4" s="312"/>
      <c r="T4" s="395" t="str">
        <f>IF('D1-D3'!$T$4="","",'D1-D3'!$T$4)</f>
        <v/>
      </c>
      <c r="U4" s="396"/>
      <c r="V4" s="396"/>
      <c r="W4" s="396"/>
      <c r="X4" s="396"/>
      <c r="Y4" s="415"/>
      <c r="Z4" s="250"/>
      <c r="AA4" s="274" t="str">
        <f>HLOOKUP(Language!$B$2,Language!$C$12:$H$656,6)</f>
        <v>ELS:840 01 04
EOT:4 1021 03-02T
PEL:100 02 03</v>
      </c>
      <c r="AB4" s="274"/>
      <c r="AC4" s="274"/>
      <c r="AD4" s="274"/>
      <c r="AE4" s="276" t="str">
        <f>'D1-D3'!AE4</f>
        <v>Rev.07</v>
      </c>
      <c r="AF4" s="276"/>
      <c r="AG4" s="251"/>
      <c r="AI4"/>
      <c r="AJ4"/>
      <c r="AK4"/>
      <c r="AL4"/>
    </row>
    <row r="5" spans="2:57" s="139" customFormat="1" ht="21" customHeight="1" thickBot="1" x14ac:dyDescent="0.35">
      <c r="B5" s="341" t="str">
        <f>HLOOKUP(Language!$B$2,Language!$C$12:$H$656,9)</f>
        <v>Complaint number (Customer):</v>
      </c>
      <c r="C5" s="342"/>
      <c r="D5" s="342"/>
      <c r="E5" s="342"/>
      <c r="F5" s="343"/>
      <c r="G5" s="405" t="str">
        <f>IF('D1-D3'!$G$5="","",'D1-D3'!$G$5)</f>
        <v/>
      </c>
      <c r="H5" s="406"/>
      <c r="I5" s="406"/>
      <c r="J5" s="406"/>
      <c r="K5" s="406"/>
      <c r="L5" s="416"/>
      <c r="M5" s="324" t="str">
        <f>HLOOKUP(Language!$B$2,Language!$C$12:$H$656,14)</f>
        <v>Complaint number (Supplier):</v>
      </c>
      <c r="N5" s="325"/>
      <c r="O5" s="325"/>
      <c r="P5" s="325"/>
      <c r="Q5" s="325"/>
      <c r="R5" s="325"/>
      <c r="S5" s="326"/>
      <c r="T5" s="405" t="str">
        <f>IF('D1-D3'!$T$5="","",'D1-D3'!$T$5)</f>
        <v/>
      </c>
      <c r="U5" s="406"/>
      <c r="V5" s="406"/>
      <c r="W5" s="406"/>
      <c r="X5" s="406"/>
      <c r="Y5" s="407"/>
      <c r="Z5" s="249"/>
      <c r="AA5" s="275"/>
      <c r="AB5" s="275"/>
      <c r="AC5" s="275"/>
      <c r="AD5" s="275"/>
      <c r="AE5" s="277"/>
      <c r="AF5" s="277"/>
      <c r="AG5" s="97"/>
      <c r="AI5" s="278" t="str">
        <f>HLOOKUP(Language!$B$2,Language!$C$12:$H$656,4)</f>
        <v>Select your language:</v>
      </c>
      <c r="AJ5" s="279"/>
      <c r="AK5" s="279"/>
      <c r="AL5" s="280"/>
      <c r="AM5" s="192"/>
      <c r="AN5" s="193"/>
      <c r="AO5" s="194"/>
      <c r="AP5" s="194"/>
      <c r="AQ5"/>
      <c r="AR5"/>
      <c r="AS5"/>
    </row>
    <row r="6" spans="2:57" ht="12" customHeight="1" thickBot="1" x14ac:dyDescent="0.35">
      <c r="B6" s="4"/>
      <c r="C6" s="21"/>
      <c r="D6" s="21"/>
      <c r="E6" s="21"/>
      <c r="F6" s="21"/>
      <c r="G6" s="33"/>
      <c r="H6" s="33"/>
      <c r="I6" s="33"/>
      <c r="J6" s="33"/>
      <c r="K6" s="33"/>
      <c r="L6" s="33"/>
      <c r="M6" s="6"/>
      <c r="N6" s="6"/>
      <c r="O6" s="6"/>
      <c r="P6" s="6"/>
      <c r="Q6" s="6"/>
      <c r="R6" s="6"/>
      <c r="S6" s="33"/>
      <c r="T6" s="21"/>
      <c r="U6" s="21"/>
      <c r="V6" s="21"/>
      <c r="W6" s="21"/>
      <c r="X6" s="21"/>
      <c r="Y6" s="21"/>
      <c r="Z6" s="25"/>
      <c r="AA6" s="25"/>
      <c r="AB6" s="25"/>
      <c r="AC6" s="25"/>
      <c r="AD6" s="25"/>
      <c r="AE6" s="25"/>
      <c r="AF6" s="25"/>
      <c r="AG6" s="26"/>
      <c r="AI6" s="281"/>
      <c r="AJ6" s="282"/>
      <c r="AK6" s="282"/>
      <c r="AL6" s="283"/>
    </row>
    <row r="7" spans="2:57" ht="12" customHeight="1" x14ac:dyDescent="0.3">
      <c r="B7" s="4"/>
      <c r="C7" s="305" t="str">
        <f>HLOOKUP(Language!$B$2,Language!$C$12:$H$656,10)</f>
        <v>Material name:</v>
      </c>
      <c r="D7" s="305"/>
      <c r="E7" s="305"/>
      <c r="F7" s="305"/>
      <c r="G7" s="305"/>
      <c r="H7" s="404" t="str">
        <f>IF('D1-D3'!$H$7="","",'D1-D3'!$H$7)</f>
        <v/>
      </c>
      <c r="I7" s="404"/>
      <c r="J7" s="404"/>
      <c r="K7" s="404"/>
      <c r="L7" s="404"/>
      <c r="M7" s="404"/>
      <c r="N7" s="404"/>
      <c r="O7" s="404"/>
      <c r="P7" s="404"/>
      <c r="Q7" s="404"/>
      <c r="R7" s="305" t="str">
        <f>HLOOKUP(Language!$B$2,Language!$C$12:$H$656,12)</f>
        <v>Drawing no.</v>
      </c>
      <c r="S7" s="305"/>
      <c r="T7" s="305"/>
      <c r="U7" s="305"/>
      <c r="V7" s="305"/>
      <c r="W7" s="404" t="str">
        <f>IF('D1-D3'!$W$7="","",'D1-D3'!$W$7)</f>
        <v/>
      </c>
      <c r="X7" s="404"/>
      <c r="Y7" s="404"/>
      <c r="Z7" s="404"/>
      <c r="AA7" s="404"/>
      <c r="AB7" s="404"/>
      <c r="AC7" s="404"/>
      <c r="AD7" s="404"/>
      <c r="AE7" s="404"/>
      <c r="AF7" s="404"/>
      <c r="AG7" s="5"/>
      <c r="AI7"/>
      <c r="AJ7"/>
      <c r="AK7"/>
      <c r="AL7"/>
    </row>
    <row r="8" spans="2:57" ht="12" customHeight="1" x14ac:dyDescent="0.3">
      <c r="B8" s="4"/>
      <c r="C8" s="305" t="str">
        <f>HLOOKUP(Language!$B$2,Language!$C$12:$H$656,11)</f>
        <v>Material number:</v>
      </c>
      <c r="D8" s="305"/>
      <c r="E8" s="305"/>
      <c r="F8" s="305"/>
      <c r="G8" s="305"/>
      <c r="H8" s="404" t="str">
        <f>IF('D1-D3'!$H$8="","",'D1-D3'!$H$8)</f>
        <v/>
      </c>
      <c r="I8" s="404"/>
      <c r="J8" s="404"/>
      <c r="K8" s="404"/>
      <c r="L8" s="404"/>
      <c r="M8" s="404"/>
      <c r="N8" s="404"/>
      <c r="O8" s="404"/>
      <c r="P8" s="404"/>
      <c r="Q8" s="404"/>
      <c r="R8" s="305" t="str">
        <f>HLOOKUP(Language!$B$2,Language!$C$12:$H$656,13)</f>
        <v>Drawing revision</v>
      </c>
      <c r="S8" s="305"/>
      <c r="T8" s="305"/>
      <c r="U8" s="305"/>
      <c r="V8" s="305"/>
      <c r="W8" s="404" t="str">
        <f>IF('D1-D3'!$W$8="","",'D1-D3'!$W$8)</f>
        <v/>
      </c>
      <c r="X8" s="404"/>
      <c r="Y8" s="404"/>
      <c r="Z8" s="404"/>
      <c r="AA8" s="404"/>
      <c r="AB8" s="404"/>
      <c r="AC8" s="404"/>
      <c r="AD8" s="404"/>
      <c r="AE8" s="404"/>
      <c r="AF8" s="404"/>
      <c r="AG8" s="5"/>
    </row>
    <row r="9" spans="2:57" ht="12" customHeight="1" thickBot="1" x14ac:dyDescent="0.35">
      <c r="B9" s="18"/>
      <c r="C9" s="19"/>
      <c r="D9" s="19"/>
      <c r="E9" s="19"/>
      <c r="F9" s="19"/>
      <c r="G9" s="19"/>
      <c r="H9" s="19"/>
      <c r="I9" s="19"/>
      <c r="J9" s="19"/>
      <c r="K9" s="19"/>
      <c r="L9" s="19"/>
      <c r="M9" s="19"/>
      <c r="N9" s="19"/>
      <c r="O9" s="19"/>
      <c r="P9" s="19"/>
      <c r="Q9" s="19"/>
      <c r="R9" s="19"/>
      <c r="S9" s="19"/>
      <c r="T9" s="19"/>
      <c r="U9" s="19"/>
      <c r="V9" s="19"/>
      <c r="W9" s="19"/>
      <c r="X9" s="19"/>
      <c r="Y9" s="19"/>
      <c r="Z9" s="27"/>
      <c r="AA9" s="28"/>
      <c r="AB9" s="28"/>
      <c r="AC9" s="28"/>
      <c r="AD9" s="28"/>
      <c r="AE9" s="28"/>
      <c r="AF9" s="28"/>
      <c r="AG9" s="29"/>
    </row>
    <row r="10" spans="2:57" ht="10.050000000000001" customHeight="1" thickBot="1" x14ac:dyDescent="0.35">
      <c r="B10" s="1"/>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96"/>
      <c r="AC10" s="196"/>
      <c r="AD10" s="196"/>
      <c r="AE10" s="196"/>
      <c r="AF10" s="196"/>
      <c r="AG10" s="197"/>
      <c r="AH10" s="198"/>
      <c r="AI10" s="195"/>
      <c r="AJ10" s="195"/>
      <c r="AK10" s="223"/>
    </row>
    <row r="11" spans="2:57" ht="8.5500000000000007" customHeight="1" x14ac:dyDescent="0.3">
      <c r="B11" s="4"/>
      <c r="C11"/>
      <c r="D11"/>
      <c r="E11" s="694" t="str">
        <f>HLOOKUP(Language!$B$2,Language!$C$12:$H$656,284)</f>
        <v>Possible points</v>
      </c>
      <c r="F11" s="690"/>
      <c r="G11" s="690"/>
      <c r="H11" s="690"/>
      <c r="I11" s="690"/>
      <c r="J11" s="696"/>
      <c r="K11" s="696"/>
      <c r="L11" s="696"/>
      <c r="M11" s="696"/>
      <c r="N11" s="696"/>
      <c r="O11" s="696"/>
      <c r="P11" s="696"/>
      <c r="Q11" s="696"/>
      <c r="R11" s="696"/>
      <c r="S11" s="696"/>
      <c r="T11" s="696"/>
      <c r="U11" s="696"/>
      <c r="V11" s="696"/>
      <c r="W11" s="696"/>
      <c r="X11" s="696"/>
      <c r="Y11" s="696"/>
      <c r="Z11" s="690" t="str">
        <f>HLOOKUP(Language!$B$2,Language!$C$12:$H$656,283)</f>
        <v>Points Earned</v>
      </c>
      <c r="AA11" s="690"/>
      <c r="AB11" s="690"/>
      <c r="AC11" s="690"/>
      <c r="AD11" s="691"/>
      <c r="AE11" s="199"/>
      <c r="AF11" s="199"/>
      <c r="AG11" s="200"/>
      <c r="AH11" s="199"/>
      <c r="AI11" s="195"/>
      <c r="AJ11" s="224"/>
      <c r="AK11" s="224"/>
      <c r="AL11" s="226"/>
      <c r="AM11" s="728" t="str">
        <f>HLOOKUP(Language!$B$2,Language!$C$12:$H$656,274)</f>
        <v>Point(s)</v>
      </c>
      <c r="AN11" s="728" t="str">
        <f>HLOOKUP(Language!$B$2,Language!$C$12:$H$656,282)</f>
        <v>Explanation</v>
      </c>
      <c r="AO11" s="224"/>
      <c r="AP11" s="224"/>
      <c r="AQ11" s="224"/>
      <c r="AR11" s="224"/>
      <c r="AS11" s="224"/>
      <c r="AT11" s="224"/>
      <c r="AU11" s="224"/>
      <c r="AV11" s="224"/>
      <c r="AW11" s="224"/>
      <c r="AX11" s="224"/>
      <c r="AY11" s="224"/>
      <c r="AZ11" s="224"/>
      <c r="BA11" s="224"/>
      <c r="BB11" s="224"/>
      <c r="BC11" s="224"/>
      <c r="BD11" s="224"/>
      <c r="BE11" s="224"/>
    </row>
    <row r="12" spans="2:57" ht="8.5500000000000007" customHeight="1" thickBot="1" x14ac:dyDescent="0.35">
      <c r="B12" s="4"/>
      <c r="C12"/>
      <c r="D12"/>
      <c r="E12" s="695"/>
      <c r="F12" s="692"/>
      <c r="G12" s="692"/>
      <c r="H12" s="692"/>
      <c r="I12" s="692"/>
      <c r="J12" s="697"/>
      <c r="K12" s="697"/>
      <c r="L12" s="697"/>
      <c r="M12" s="697"/>
      <c r="N12" s="697"/>
      <c r="O12" s="697"/>
      <c r="P12" s="697"/>
      <c r="Q12" s="697"/>
      <c r="R12" s="697"/>
      <c r="S12" s="697"/>
      <c r="T12" s="697"/>
      <c r="U12" s="697"/>
      <c r="V12" s="697"/>
      <c r="W12" s="697"/>
      <c r="X12" s="697"/>
      <c r="Y12" s="697"/>
      <c r="Z12" s="692"/>
      <c r="AA12" s="692"/>
      <c r="AB12" s="692"/>
      <c r="AC12" s="692"/>
      <c r="AD12" s="693"/>
      <c r="AE12" s="201"/>
      <c r="AF12" s="201"/>
      <c r="AG12" s="202"/>
      <c r="AH12" s="201"/>
      <c r="AI12" s="195"/>
      <c r="AJ12" s="224"/>
      <c r="AK12" s="224"/>
      <c r="AL12" s="226"/>
      <c r="AM12" s="729"/>
      <c r="AN12" s="729"/>
      <c r="AO12" s="224"/>
      <c r="AP12" s="224"/>
      <c r="AQ12" s="224"/>
      <c r="AR12" s="224"/>
      <c r="AS12" s="224"/>
      <c r="AT12" s="224"/>
      <c r="AU12" s="224"/>
      <c r="AV12" s="224"/>
      <c r="AW12" s="224"/>
      <c r="AX12" s="224"/>
      <c r="AY12" s="224"/>
      <c r="AZ12" s="224"/>
      <c r="BA12" s="224"/>
      <c r="BB12" s="224"/>
      <c r="BC12" s="224"/>
      <c r="BD12" s="224"/>
      <c r="BE12" s="224"/>
    </row>
    <row r="13" spans="2:57" ht="13.05" customHeight="1" x14ac:dyDescent="0.3">
      <c r="B13" s="4"/>
      <c r="C13" s="698" t="s">
        <v>381</v>
      </c>
      <c r="D13" s="698"/>
      <c r="E13" s="699"/>
      <c r="F13" s="607">
        <v>2</v>
      </c>
      <c r="G13" s="608"/>
      <c r="H13" s="609"/>
      <c r="I13" s="610" t="str">
        <f>HLOOKUP(Language!$B$2,Language!$C$12:$H$656,186)</f>
        <v>Team leader including contact details has been defined.</v>
      </c>
      <c r="J13" s="611"/>
      <c r="K13" s="611"/>
      <c r="L13" s="611"/>
      <c r="M13" s="611"/>
      <c r="N13" s="611"/>
      <c r="O13" s="611"/>
      <c r="P13" s="611"/>
      <c r="Q13" s="611"/>
      <c r="R13" s="611"/>
      <c r="S13" s="611"/>
      <c r="T13" s="611"/>
      <c r="U13" s="611"/>
      <c r="V13" s="611"/>
      <c r="W13" s="611"/>
      <c r="X13" s="611"/>
      <c r="Y13" s="611"/>
      <c r="Z13" s="612"/>
      <c r="AA13" s="687">
        <f>Data!$F$3</f>
        <v>0</v>
      </c>
      <c r="AB13" s="688"/>
      <c r="AC13" s="689"/>
      <c r="AD13" s="201"/>
      <c r="AE13" s="201"/>
      <c r="AF13" s="201"/>
      <c r="AG13" s="202"/>
      <c r="AH13" s="201"/>
      <c r="AI13" s="203"/>
      <c r="AJ13" s="72"/>
      <c r="AK13" s="739" t="s">
        <v>381</v>
      </c>
      <c r="AL13" s="227"/>
      <c r="AM13" s="228">
        <v>2</v>
      </c>
      <c r="AN13" s="229" t="str">
        <f>HLOOKUP(Language!$B$2,Language!$C$12:$H$656,249)</f>
        <v>Team leader's name, position, phone number, and email address</v>
      </c>
      <c r="AO13" s="62"/>
      <c r="AP13" s="62"/>
      <c r="AQ13" s="62"/>
      <c r="AR13" s="62"/>
      <c r="AS13" s="62"/>
      <c r="AT13" s="62"/>
      <c r="AU13" s="62"/>
      <c r="AV13" s="62"/>
      <c r="AW13" s="62"/>
      <c r="AX13" s="62"/>
      <c r="AY13" s="62"/>
      <c r="AZ13" s="62"/>
      <c r="BA13" s="62"/>
      <c r="BB13" s="62"/>
      <c r="BC13" s="62"/>
      <c r="BD13" s="62"/>
      <c r="BE13" s="62"/>
    </row>
    <row r="14" spans="2:57" ht="22.05" customHeight="1" thickBot="1" x14ac:dyDescent="0.35">
      <c r="B14" s="4"/>
      <c r="C14" s="698"/>
      <c r="D14" s="698"/>
      <c r="E14" s="699"/>
      <c r="F14" s="619">
        <v>2</v>
      </c>
      <c r="G14" s="620"/>
      <c r="H14" s="621"/>
      <c r="I14" s="622" t="str">
        <f>HLOOKUP(Language!$B$2,Language!$C$12:$H$656,187)</f>
        <v>Cross-functional team has been defined and the functions of the participants are available.</v>
      </c>
      <c r="J14" s="623"/>
      <c r="K14" s="623"/>
      <c r="L14" s="623"/>
      <c r="M14" s="623"/>
      <c r="N14" s="623"/>
      <c r="O14" s="623"/>
      <c r="P14" s="623"/>
      <c r="Q14" s="623"/>
      <c r="R14" s="623"/>
      <c r="S14" s="623"/>
      <c r="T14" s="623"/>
      <c r="U14" s="623"/>
      <c r="V14" s="623"/>
      <c r="W14" s="623"/>
      <c r="X14" s="623"/>
      <c r="Y14" s="623"/>
      <c r="Z14" s="624"/>
      <c r="AA14" s="700">
        <f>Data!$F$4</f>
        <v>0</v>
      </c>
      <c r="AB14" s="701"/>
      <c r="AC14" s="702"/>
      <c r="AD14" s="199"/>
      <c r="AE14" s="199"/>
      <c r="AF14" s="199"/>
      <c r="AG14" s="200"/>
      <c r="AH14" s="199"/>
      <c r="AI14" s="203"/>
      <c r="AJ14" s="72"/>
      <c r="AK14" s="740"/>
      <c r="AL14" s="230"/>
      <c r="AM14" s="234">
        <v>2</v>
      </c>
      <c r="AN14" s="236" t="str">
        <f>HLOOKUP(Language!$B$2,Language!$C$12:$H$656,250)</f>
        <v>Team members were listed by name and position</v>
      </c>
      <c r="AO14" s="62"/>
      <c r="AP14" s="62"/>
      <c r="AQ14" s="62"/>
      <c r="AR14" s="62"/>
      <c r="AS14" s="62"/>
      <c r="AT14" s="62"/>
      <c r="AU14" s="62"/>
      <c r="AV14" s="62"/>
      <c r="AW14" s="62"/>
      <c r="AX14" s="62"/>
      <c r="AY14" s="62"/>
      <c r="AZ14" s="62"/>
      <c r="BA14" s="62"/>
      <c r="BB14" s="62"/>
      <c r="BC14" s="62"/>
      <c r="BD14" s="62"/>
      <c r="BE14" s="62"/>
    </row>
    <row r="15" spans="2:57" ht="8.5500000000000007" customHeight="1" x14ac:dyDescent="0.3">
      <c r="B15" s="4"/>
      <c r="C15"/>
      <c r="D15"/>
      <c r="E15" s="218"/>
      <c r="F15" s="219"/>
      <c r="G15" s="219"/>
      <c r="H15" s="219"/>
      <c r="I15" s="220"/>
      <c r="J15" s="696"/>
      <c r="K15" s="696"/>
      <c r="L15" s="696"/>
      <c r="M15" s="696"/>
      <c r="N15" s="696"/>
      <c r="O15" s="696"/>
      <c r="P15" s="696"/>
      <c r="Q15" s="696"/>
      <c r="R15" s="696"/>
      <c r="S15" s="696"/>
      <c r="T15" s="696"/>
      <c r="U15" s="696"/>
      <c r="V15" s="696"/>
      <c r="W15" s="696"/>
      <c r="X15" s="696"/>
      <c r="Y15" s="696"/>
      <c r="Z15" s="220"/>
      <c r="AA15" s="219"/>
      <c r="AB15" s="219"/>
      <c r="AC15" s="219"/>
      <c r="AD15" s="243"/>
      <c r="AE15" s="199"/>
      <c r="AF15" s="199"/>
      <c r="AG15" s="200"/>
      <c r="AH15" s="199"/>
      <c r="AI15" s="201"/>
      <c r="AJ15" s="224"/>
      <c r="AK15" s="736" t="s">
        <v>382</v>
      </c>
      <c r="AL15" s="727"/>
      <c r="AM15" s="714">
        <v>1</v>
      </c>
      <c r="AN15" s="720" t="str">
        <f>HLOOKUP(Language!$B$2,Language!$C$12:$H$656,251)</f>
        <v xml:space="preserve">The error has been described </v>
      </c>
      <c r="AO15" s="224"/>
      <c r="AP15" s="224"/>
      <c r="AQ15" s="224"/>
      <c r="AR15" s="224"/>
      <c r="AS15" s="224"/>
      <c r="AT15" s="224"/>
      <c r="AU15" s="224"/>
      <c r="AV15" s="224"/>
      <c r="AW15" s="224"/>
      <c r="AX15" s="224"/>
      <c r="AY15" s="224"/>
      <c r="AZ15" s="224"/>
      <c r="BA15" s="224"/>
      <c r="BB15" s="224"/>
      <c r="BC15" s="224"/>
      <c r="BD15" s="224"/>
      <c r="BE15" s="224"/>
    </row>
    <row r="16" spans="2:57" ht="8.5500000000000007" customHeight="1" x14ac:dyDescent="0.3">
      <c r="B16" s="4"/>
      <c r="C16"/>
      <c r="D16"/>
      <c r="E16" s="221"/>
      <c r="F16" s="222"/>
      <c r="G16" s="222"/>
      <c r="H16" s="222"/>
      <c r="I16" s="222"/>
      <c r="J16" s="697"/>
      <c r="K16" s="697"/>
      <c r="L16" s="697"/>
      <c r="M16" s="697"/>
      <c r="N16" s="697"/>
      <c r="O16" s="697"/>
      <c r="P16" s="697"/>
      <c r="Q16" s="697"/>
      <c r="R16" s="697"/>
      <c r="S16" s="697"/>
      <c r="T16" s="697"/>
      <c r="U16" s="697"/>
      <c r="V16" s="697"/>
      <c r="W16" s="697"/>
      <c r="X16" s="697"/>
      <c r="Y16" s="697"/>
      <c r="Z16" s="222"/>
      <c r="AA16" s="222"/>
      <c r="AB16" s="222"/>
      <c r="AC16" s="222"/>
      <c r="AD16" s="244"/>
      <c r="AE16" s="201"/>
      <c r="AF16" s="201"/>
      <c r="AG16" s="202"/>
      <c r="AH16" s="201"/>
      <c r="AI16" s="201"/>
      <c r="AJ16" s="224"/>
      <c r="AK16" s="737"/>
      <c r="AL16" s="718"/>
      <c r="AM16" s="725"/>
      <c r="AN16" s="721"/>
      <c r="AO16" s="224"/>
      <c r="AP16" s="224"/>
      <c r="AQ16" s="224"/>
      <c r="AR16" s="224"/>
      <c r="AS16" s="224"/>
      <c r="AT16" s="224"/>
      <c r="AU16" s="224"/>
      <c r="AV16" s="224"/>
      <c r="AW16" s="224"/>
      <c r="AX16" s="224"/>
      <c r="AY16" s="224"/>
      <c r="AZ16" s="224"/>
      <c r="BA16" s="224"/>
      <c r="BB16" s="224"/>
      <c r="BC16" s="224"/>
      <c r="BD16" s="224"/>
      <c r="BE16" s="224"/>
    </row>
    <row r="17" spans="2:57" ht="13.05" customHeight="1" x14ac:dyDescent="0.3">
      <c r="B17" s="4"/>
      <c r="C17" s="698" t="s">
        <v>382</v>
      </c>
      <c r="D17" s="698"/>
      <c r="E17" s="699"/>
      <c r="F17" s="607">
        <v>1</v>
      </c>
      <c r="G17" s="608"/>
      <c r="H17" s="609"/>
      <c r="I17" s="610" t="str">
        <f>HLOOKUP(Language!$B$2,Language!$C$12:$H$656,190)</f>
        <v>Clear description of the error including impact was presented.</v>
      </c>
      <c r="J17" s="611"/>
      <c r="K17" s="611"/>
      <c r="L17" s="611"/>
      <c r="M17" s="611"/>
      <c r="N17" s="611"/>
      <c r="O17" s="611"/>
      <c r="P17" s="611"/>
      <c r="Q17" s="611"/>
      <c r="R17" s="611"/>
      <c r="S17" s="611"/>
      <c r="T17" s="611"/>
      <c r="U17" s="611"/>
      <c r="V17" s="611"/>
      <c r="W17" s="611"/>
      <c r="X17" s="611"/>
      <c r="Y17" s="611"/>
      <c r="Z17" s="612"/>
      <c r="AA17" s="706">
        <f>Data!$F$6</f>
        <v>0</v>
      </c>
      <c r="AB17" s="707"/>
      <c r="AC17" s="708"/>
      <c r="AD17" s="199"/>
      <c r="AE17" s="199"/>
      <c r="AF17" s="199"/>
      <c r="AG17" s="200"/>
      <c r="AH17" s="199"/>
      <c r="AI17" s="203"/>
      <c r="AJ17" s="72"/>
      <c r="AK17" s="737"/>
      <c r="AL17" s="240" t="str">
        <f>HLOOKUP(Language!$B$2,Language!$C$12:$H$656,275)</f>
        <v>Per question</v>
      </c>
      <c r="AM17" s="238">
        <v>0.5</v>
      </c>
      <c r="AN17" s="239" t="str">
        <f>HLOOKUP(Language!$B$2,Language!$C$12:$H$656,252)</f>
        <v xml:space="preserve"> The questions were answered</v>
      </c>
      <c r="AO17" s="62"/>
      <c r="AP17" s="62"/>
      <c r="AQ17" s="62"/>
      <c r="AR17" s="62"/>
      <c r="AS17" s="62"/>
      <c r="AT17" s="62"/>
      <c r="AU17" s="62"/>
      <c r="AV17" s="62"/>
      <c r="AW17" s="62"/>
      <c r="AX17" s="62"/>
      <c r="AY17" s="62"/>
      <c r="AZ17" s="62"/>
      <c r="BA17" s="62"/>
      <c r="BB17" s="62"/>
      <c r="BC17" s="62"/>
      <c r="BD17" s="62"/>
      <c r="BE17" s="62"/>
    </row>
    <row r="18" spans="2:57" ht="13.05" customHeight="1" x14ac:dyDescent="0.3">
      <c r="B18" s="31"/>
      <c r="C18" s="698"/>
      <c r="D18" s="698"/>
      <c r="E18" s="699"/>
      <c r="F18" s="660">
        <v>3</v>
      </c>
      <c r="G18" s="661"/>
      <c r="H18" s="662"/>
      <c r="I18" s="622" t="str">
        <f>HLOOKUP(Language!$B$2,Language!$C$12:$H$656,191)</f>
        <v>The "W- Questions" were used to describe the problem.</v>
      </c>
      <c r="J18" s="623"/>
      <c r="K18" s="623"/>
      <c r="L18" s="623"/>
      <c r="M18" s="623"/>
      <c r="N18" s="623"/>
      <c r="O18" s="623"/>
      <c r="P18" s="623"/>
      <c r="Q18" s="623"/>
      <c r="R18" s="623"/>
      <c r="S18" s="623"/>
      <c r="T18" s="623"/>
      <c r="U18" s="623"/>
      <c r="V18" s="623"/>
      <c r="W18" s="623"/>
      <c r="X18" s="623"/>
      <c r="Y18" s="623"/>
      <c r="Z18" s="624"/>
      <c r="AA18" s="703">
        <f>Data!$F$12</f>
        <v>0</v>
      </c>
      <c r="AB18" s="704"/>
      <c r="AC18" s="705"/>
      <c r="AD18" s="201"/>
      <c r="AE18" s="201"/>
      <c r="AF18" s="201"/>
      <c r="AG18" s="202"/>
      <c r="AH18" s="201"/>
      <c r="AI18" s="203"/>
      <c r="AJ18"/>
      <c r="AK18" s="737"/>
      <c r="AL18" s="730" t="str">
        <f>HLOOKUP(Language!$B$2,Language!$C$12:$H$656,276)</f>
        <v>Per field</v>
      </c>
      <c r="AM18" s="725">
        <v>1</v>
      </c>
      <c r="AN18" s="721" t="str">
        <f>HLOOKUP(Language!$B$2,Language!$C$12:$H$656,253)</f>
        <v>▪ Quantity suspected of being defective at the customer's site
▪ Quantity suspected of being defective at the supplier's site
▪ A quantity suspected of being defective during transport was reported.</v>
      </c>
      <c r="AO18" s="62"/>
      <c r="AP18" s="62"/>
      <c r="AQ18" s="62"/>
      <c r="AR18" s="62"/>
      <c r="AS18" s="62"/>
      <c r="AT18" s="62"/>
      <c r="AU18" s="62"/>
      <c r="AV18" s="62"/>
      <c r="AW18" s="62"/>
      <c r="AX18" s="62"/>
      <c r="AY18" s="62"/>
      <c r="AZ18" s="62"/>
      <c r="BA18" s="62"/>
      <c r="BB18" s="62"/>
      <c r="BC18" s="62"/>
      <c r="BD18" s="62"/>
      <c r="BE18" s="62"/>
    </row>
    <row r="19" spans="2:57" ht="13.05" customHeight="1" x14ac:dyDescent="0.3">
      <c r="B19" s="31"/>
      <c r="C19" s="698"/>
      <c r="D19" s="698"/>
      <c r="E19" s="699"/>
      <c r="F19" s="619">
        <v>3</v>
      </c>
      <c r="G19" s="620"/>
      <c r="H19" s="621"/>
      <c r="I19" s="622" t="str">
        <f>HLOOKUP(Language!$B$2,Language!$C$12:$H$656,192)</f>
        <v>Potentially suspect quantities and NOK quantities are indicated?</v>
      </c>
      <c r="J19" s="623"/>
      <c r="K19" s="623"/>
      <c r="L19" s="623"/>
      <c r="M19" s="623"/>
      <c r="N19" s="623"/>
      <c r="O19" s="623"/>
      <c r="P19" s="623"/>
      <c r="Q19" s="623"/>
      <c r="R19" s="623"/>
      <c r="S19" s="623"/>
      <c r="T19" s="623"/>
      <c r="U19" s="623"/>
      <c r="V19" s="623"/>
      <c r="W19" s="623"/>
      <c r="X19" s="623"/>
      <c r="Y19" s="623"/>
      <c r="Z19" s="624"/>
      <c r="AA19" s="700">
        <f>Data!$F$15</f>
        <v>0</v>
      </c>
      <c r="AB19" s="701"/>
      <c r="AC19" s="702"/>
      <c r="AD19" s="199"/>
      <c r="AE19" s="199"/>
      <c r="AF19" s="199"/>
      <c r="AG19" s="200"/>
      <c r="AH19" s="199"/>
      <c r="AI19" s="203"/>
      <c r="AJ19" s="72"/>
      <c r="AK19" s="737"/>
      <c r="AL19" s="730"/>
      <c r="AM19" s="725"/>
      <c r="AN19" s="721"/>
      <c r="AO19" s="62"/>
      <c r="AP19" s="62"/>
      <c r="AQ19" s="62"/>
      <c r="AR19" s="62"/>
      <c r="AS19" s="62"/>
      <c r="AT19" s="62"/>
      <c r="AU19" s="62"/>
      <c r="AV19" s="62"/>
      <c r="AW19" s="62"/>
      <c r="AX19" s="62"/>
      <c r="AY19" s="62"/>
      <c r="AZ19" s="62"/>
      <c r="BA19" s="62"/>
      <c r="BB19" s="62"/>
      <c r="BC19" s="62"/>
      <c r="BD19" s="62"/>
      <c r="BE19" s="62"/>
    </row>
    <row r="20" spans="2:57" ht="8.5500000000000007" customHeight="1" x14ac:dyDescent="0.3">
      <c r="B20" s="4"/>
      <c r="C20"/>
      <c r="D20"/>
      <c r="E20" s="218"/>
      <c r="F20" s="219"/>
      <c r="G20" s="219"/>
      <c r="H20" s="219"/>
      <c r="I20" s="220"/>
      <c r="J20" s="696"/>
      <c r="K20" s="696"/>
      <c r="L20" s="696"/>
      <c r="M20" s="696"/>
      <c r="N20" s="696"/>
      <c r="O20" s="696"/>
      <c r="P20" s="696"/>
      <c r="Q20" s="696"/>
      <c r="R20" s="696"/>
      <c r="S20" s="696"/>
      <c r="T20" s="696"/>
      <c r="U20" s="696"/>
      <c r="V20" s="696"/>
      <c r="W20" s="696"/>
      <c r="X20" s="696"/>
      <c r="Y20" s="696"/>
      <c r="Z20" s="220"/>
      <c r="AA20" s="219"/>
      <c r="AB20" s="219"/>
      <c r="AC20" s="219"/>
      <c r="AD20" s="243"/>
      <c r="AE20" s="199"/>
      <c r="AF20" s="199"/>
      <c r="AG20" s="200"/>
      <c r="AH20" s="199"/>
      <c r="AI20" s="201"/>
      <c r="AJ20" s="224"/>
      <c r="AK20" s="737"/>
      <c r="AL20" s="730"/>
      <c r="AM20" s="725"/>
      <c r="AN20" s="721"/>
      <c r="AO20" s="224"/>
      <c r="AP20" s="224"/>
      <c r="AQ20" s="224"/>
      <c r="AR20" s="224"/>
      <c r="AS20" s="224"/>
      <c r="AT20" s="224"/>
      <c r="AU20" s="224"/>
      <c r="AV20" s="224"/>
      <c r="AW20" s="224"/>
      <c r="AX20" s="224"/>
      <c r="AY20" s="224"/>
      <c r="AZ20" s="224"/>
      <c r="BA20" s="224"/>
      <c r="BB20" s="224"/>
      <c r="BC20" s="224"/>
      <c r="BD20" s="224"/>
      <c r="BE20" s="224"/>
    </row>
    <row r="21" spans="2:57" ht="8.5500000000000007" customHeight="1" thickBot="1" x14ac:dyDescent="0.35">
      <c r="B21" s="4"/>
      <c r="C21"/>
      <c r="D21"/>
      <c r="E21" s="221"/>
      <c r="F21" s="222"/>
      <c r="G21" s="222"/>
      <c r="H21" s="222"/>
      <c r="I21" s="222"/>
      <c r="J21" s="697"/>
      <c r="K21" s="697"/>
      <c r="L21" s="697"/>
      <c r="M21" s="697"/>
      <c r="N21" s="697"/>
      <c r="O21" s="697"/>
      <c r="P21" s="697"/>
      <c r="Q21" s="697"/>
      <c r="R21" s="697"/>
      <c r="S21" s="697"/>
      <c r="T21" s="697"/>
      <c r="U21" s="697"/>
      <c r="V21" s="697"/>
      <c r="W21" s="697"/>
      <c r="X21" s="697"/>
      <c r="Y21" s="697"/>
      <c r="Z21" s="222"/>
      <c r="AA21" s="222"/>
      <c r="AB21" s="222"/>
      <c r="AC21" s="222"/>
      <c r="AD21" s="244"/>
      <c r="AE21" s="201"/>
      <c r="AF21" s="201"/>
      <c r="AG21" s="202"/>
      <c r="AH21" s="201"/>
      <c r="AI21" s="201"/>
      <c r="AJ21" s="224"/>
      <c r="AK21" s="738"/>
      <c r="AL21" s="731"/>
      <c r="AM21" s="715"/>
      <c r="AN21" s="722"/>
      <c r="AO21" s="224"/>
      <c r="AP21" s="224"/>
      <c r="AQ21" s="224"/>
      <c r="AR21" s="224"/>
      <c r="AS21" s="224"/>
      <c r="AT21" s="224"/>
      <c r="AU21" s="224"/>
      <c r="AV21" s="224"/>
      <c r="AW21" s="224"/>
      <c r="AX21" s="224"/>
      <c r="AY21" s="224"/>
      <c r="AZ21" s="224"/>
      <c r="BA21" s="224"/>
      <c r="BB21" s="224"/>
      <c r="BC21" s="224"/>
      <c r="BD21" s="224"/>
      <c r="BE21" s="224"/>
    </row>
    <row r="22" spans="2:57" ht="22.05" customHeight="1" x14ac:dyDescent="0.3">
      <c r="B22" s="4"/>
      <c r="C22" s="698" t="s">
        <v>383</v>
      </c>
      <c r="D22" s="698"/>
      <c r="E22" s="699"/>
      <c r="F22" s="607">
        <v>3</v>
      </c>
      <c r="G22" s="608"/>
      <c r="H22" s="609"/>
      <c r="I22" s="610" t="str">
        <f>HLOOKUP(Language!$B$2,Language!$C$12:$H$656,196)</f>
        <v>Immediate measures were defined and implemented to protect Elektra and end customers.</v>
      </c>
      <c r="J22" s="611"/>
      <c r="K22" s="611"/>
      <c r="L22" s="611"/>
      <c r="M22" s="611"/>
      <c r="N22" s="611"/>
      <c r="O22" s="611"/>
      <c r="P22" s="611"/>
      <c r="Q22" s="611"/>
      <c r="R22" s="611"/>
      <c r="S22" s="611"/>
      <c r="T22" s="611"/>
      <c r="U22" s="611"/>
      <c r="V22" s="611"/>
      <c r="W22" s="611"/>
      <c r="X22" s="611"/>
      <c r="Y22" s="611"/>
      <c r="Z22" s="612"/>
      <c r="AA22" s="613">
        <f>Data!$F$19</f>
        <v>0</v>
      </c>
      <c r="AB22" s="614"/>
      <c r="AC22" s="615"/>
      <c r="AD22" s="201"/>
      <c r="AE22" s="201"/>
      <c r="AF22" s="201"/>
      <c r="AG22" s="202"/>
      <c r="AH22" s="201"/>
      <c r="AI22" s="203"/>
      <c r="AJ22"/>
      <c r="AK22" s="739" t="s">
        <v>383</v>
      </c>
      <c r="AL22" s="227" t="str">
        <f>HLOOKUP(Language!$B$2,Language!$C$12:$H$656,277)</f>
        <v>Per action</v>
      </c>
      <c r="AM22" s="228">
        <v>1</v>
      </c>
      <c r="AN22" s="229" t="str">
        <f>HLOOKUP(Language!$B$2,Language!$C$12:$H$656,254)</f>
        <v>At least three containment actions were defined and validated</v>
      </c>
      <c r="AO22" s="62"/>
      <c r="AP22" s="62"/>
      <c r="AQ22" s="62"/>
      <c r="AR22" s="62"/>
      <c r="AS22" s="62"/>
      <c r="AT22" s="62"/>
      <c r="AU22" s="62"/>
      <c r="AV22" s="62"/>
      <c r="AW22" s="62"/>
      <c r="AX22" s="62"/>
      <c r="AY22" s="62"/>
      <c r="AZ22" s="62"/>
      <c r="BA22" s="62"/>
      <c r="BB22" s="62"/>
      <c r="BC22" s="62"/>
      <c r="BD22" s="62"/>
      <c r="BE22" s="62"/>
    </row>
    <row r="23" spans="2:57" ht="33.6" customHeight="1" thickBot="1" x14ac:dyDescent="0.35">
      <c r="B23" s="4"/>
      <c r="C23" s="698"/>
      <c r="D23" s="698"/>
      <c r="E23" s="699"/>
      <c r="F23" s="619">
        <v>2</v>
      </c>
      <c r="G23" s="620"/>
      <c r="H23" s="621"/>
      <c r="I23" s="622" t="str">
        <f>HLOOKUP(Language!$B$2,Language!$C$12:$H$656,197)</f>
        <v>The first shipment after implementation of the containment actions has been scheduled. Identification of the OK material and the date when the first shipment of OK material will arrive at Elektra.</v>
      </c>
      <c r="J23" s="623"/>
      <c r="K23" s="623"/>
      <c r="L23" s="623"/>
      <c r="M23" s="623"/>
      <c r="N23" s="623"/>
      <c r="O23" s="623"/>
      <c r="P23" s="623"/>
      <c r="Q23" s="623"/>
      <c r="R23" s="623"/>
      <c r="S23" s="623"/>
      <c r="T23" s="623"/>
      <c r="U23" s="623"/>
      <c r="V23" s="623"/>
      <c r="W23" s="623"/>
      <c r="X23" s="623"/>
      <c r="Y23" s="623"/>
      <c r="Z23" s="624"/>
      <c r="AA23" s="709">
        <f>Data!$F$21</f>
        <v>0</v>
      </c>
      <c r="AB23" s="710"/>
      <c r="AC23" s="711"/>
      <c r="AD23" s="199"/>
      <c r="AE23" s="199"/>
      <c r="AF23" s="199"/>
      <c r="AG23" s="200"/>
      <c r="AH23" s="199"/>
      <c r="AI23" s="203"/>
      <c r="AJ23"/>
      <c r="AK23" s="740"/>
      <c r="AL23" s="230" t="str">
        <f>HLOOKUP(Language!$B$2,Language!$C$12:$H$656,276)</f>
        <v>Per field</v>
      </c>
      <c r="AM23" s="234">
        <v>1</v>
      </c>
      <c r="AN23" s="236" t="str">
        <f>HLOOKUP(Language!$B$2,Language!$C$12:$H$656,255)</f>
        <v>▪ Delivery date
▪ Delivery note number were provided</v>
      </c>
      <c r="AO23" s="62"/>
      <c r="AP23" s="62"/>
      <c r="AQ23" s="62"/>
      <c r="AR23" s="62"/>
      <c r="AS23" s="62"/>
      <c r="AT23" s="62"/>
      <c r="AU23" s="62"/>
      <c r="AV23" s="62"/>
      <c r="AW23" s="62"/>
      <c r="AX23" s="62"/>
      <c r="AY23" s="62"/>
      <c r="AZ23" s="62"/>
      <c r="BA23" s="62"/>
      <c r="BB23" s="62"/>
      <c r="BC23" s="62"/>
      <c r="BD23" s="62"/>
      <c r="BE23" s="62"/>
    </row>
    <row r="24" spans="2:57" ht="8.5500000000000007" customHeight="1" x14ac:dyDescent="0.3">
      <c r="B24" s="4"/>
      <c r="C24"/>
      <c r="D24"/>
      <c r="E24" s="218"/>
      <c r="F24" s="219"/>
      <c r="G24" s="219"/>
      <c r="H24" s="219"/>
      <c r="I24" s="220"/>
      <c r="J24" s="696"/>
      <c r="K24" s="696"/>
      <c r="L24" s="696"/>
      <c r="M24" s="696"/>
      <c r="N24" s="696"/>
      <c r="O24" s="696"/>
      <c r="P24" s="696"/>
      <c r="Q24" s="696"/>
      <c r="R24" s="696"/>
      <c r="S24" s="696"/>
      <c r="T24" s="696"/>
      <c r="U24" s="696"/>
      <c r="V24" s="696"/>
      <c r="W24" s="696"/>
      <c r="X24" s="696"/>
      <c r="Y24" s="696"/>
      <c r="Z24" s="220"/>
      <c r="AA24" s="219"/>
      <c r="AB24" s="219"/>
      <c r="AC24" s="219"/>
      <c r="AD24" s="243"/>
      <c r="AE24" s="199"/>
      <c r="AF24" s="199"/>
      <c r="AG24" s="200"/>
      <c r="AH24" s="199"/>
      <c r="AI24" s="201"/>
      <c r="AJ24" s="224"/>
      <c r="AK24" s="736" t="s">
        <v>384</v>
      </c>
      <c r="AL24" s="727" t="str">
        <f>HLOOKUP(Language!$B$2,Language!$C$12:$H$656,276)</f>
        <v>Per field</v>
      </c>
      <c r="AM24" s="714">
        <v>2</v>
      </c>
      <c r="AN24" s="720" t="str">
        <f>HLOOKUP(Language!$B$2,Language!$C$12:$H$656,256)</f>
        <v>▪ Cause of occurrence
▪ Causes of non-detection were specified</v>
      </c>
      <c r="AO24" s="224"/>
      <c r="AP24" s="224"/>
      <c r="AQ24" s="224"/>
      <c r="AR24" s="224"/>
      <c r="AS24" s="224"/>
      <c r="AT24" s="224"/>
      <c r="AU24" s="224"/>
      <c r="AV24" s="224"/>
      <c r="AW24" s="224"/>
      <c r="AX24" s="224"/>
      <c r="AY24" s="224"/>
      <c r="AZ24" s="224"/>
      <c r="BA24" s="224"/>
      <c r="BB24" s="224"/>
      <c r="BC24" s="224"/>
      <c r="BD24" s="224"/>
      <c r="BE24" s="224"/>
    </row>
    <row r="25" spans="2:57" ht="8.5500000000000007" customHeight="1" x14ac:dyDescent="0.3">
      <c r="B25" s="4"/>
      <c r="C25"/>
      <c r="D25"/>
      <c r="E25" s="221"/>
      <c r="F25" s="222"/>
      <c r="G25" s="222"/>
      <c r="H25" s="222"/>
      <c r="I25" s="222"/>
      <c r="J25" s="697"/>
      <c r="K25" s="697"/>
      <c r="L25" s="697"/>
      <c r="M25" s="697"/>
      <c r="N25" s="697"/>
      <c r="O25" s="697"/>
      <c r="P25" s="697"/>
      <c r="Q25" s="697"/>
      <c r="R25" s="697"/>
      <c r="S25" s="697"/>
      <c r="T25" s="697"/>
      <c r="U25" s="697"/>
      <c r="V25" s="697"/>
      <c r="W25" s="697"/>
      <c r="X25" s="697"/>
      <c r="Y25" s="697"/>
      <c r="Z25" s="222"/>
      <c r="AA25" s="222"/>
      <c r="AB25" s="222"/>
      <c r="AC25" s="222"/>
      <c r="AD25" s="244"/>
      <c r="AE25" s="201"/>
      <c r="AF25" s="201"/>
      <c r="AG25" s="202"/>
      <c r="AH25" s="201"/>
      <c r="AI25" s="201"/>
      <c r="AJ25" s="224"/>
      <c r="AK25" s="737"/>
      <c r="AL25" s="718"/>
      <c r="AM25" s="725"/>
      <c r="AN25" s="721"/>
      <c r="AO25" s="224"/>
      <c r="AP25" s="224"/>
      <c r="AQ25" s="224"/>
      <c r="AR25" s="224"/>
      <c r="AS25" s="224"/>
      <c r="AT25" s="224"/>
      <c r="AU25" s="224"/>
      <c r="AV25" s="224"/>
      <c r="AW25" s="224"/>
      <c r="AX25" s="224"/>
      <c r="AY25" s="224"/>
      <c r="AZ25" s="224"/>
      <c r="BA25" s="224"/>
      <c r="BB25" s="224"/>
      <c r="BC25" s="224"/>
      <c r="BD25" s="224"/>
      <c r="BE25" s="224"/>
    </row>
    <row r="26" spans="2:57" ht="13.05" customHeight="1" x14ac:dyDescent="0.3">
      <c r="B26" s="4"/>
      <c r="C26" s="698" t="s">
        <v>384</v>
      </c>
      <c r="D26" s="698"/>
      <c r="E26" s="699"/>
      <c r="F26" s="607">
        <v>5</v>
      </c>
      <c r="G26" s="608"/>
      <c r="H26" s="609"/>
      <c r="I26" s="610" t="str">
        <f>HLOOKUP(Language!$B$2,Language!$C$12:$H$656,200)</f>
        <v>Potential causes for the occurrence and non-detection are identified and plausible.</v>
      </c>
      <c r="J26" s="611"/>
      <c r="K26" s="611"/>
      <c r="L26" s="611"/>
      <c r="M26" s="611"/>
      <c r="N26" s="611"/>
      <c r="O26" s="611"/>
      <c r="P26" s="611"/>
      <c r="Q26" s="611"/>
      <c r="R26" s="611"/>
      <c r="S26" s="611"/>
      <c r="T26" s="611"/>
      <c r="U26" s="611"/>
      <c r="V26" s="611"/>
      <c r="W26" s="611"/>
      <c r="X26" s="611"/>
      <c r="Y26" s="611"/>
      <c r="Z26" s="612"/>
      <c r="AA26" s="613">
        <f>Data!$F$26</f>
        <v>0</v>
      </c>
      <c r="AB26" s="614"/>
      <c r="AC26" s="615"/>
      <c r="AD26" s="201"/>
      <c r="AE26" s="201"/>
      <c r="AF26" s="201"/>
      <c r="AG26" s="202"/>
      <c r="AH26" s="201"/>
      <c r="AI26" s="203"/>
      <c r="AJ26"/>
      <c r="AK26" s="737"/>
      <c r="AL26" s="718"/>
      <c r="AM26" s="725"/>
      <c r="AN26" s="721"/>
      <c r="AO26" s="62"/>
      <c r="AP26" s="62"/>
      <c r="AQ26" s="62"/>
      <c r="AR26" s="62"/>
      <c r="AS26" s="62"/>
      <c r="AT26" s="62"/>
      <c r="AU26" s="62"/>
      <c r="AV26" s="62"/>
      <c r="AW26" s="62"/>
      <c r="AX26" s="62"/>
      <c r="AY26" s="62"/>
      <c r="AZ26" s="62"/>
      <c r="BA26" s="62"/>
      <c r="BB26" s="62"/>
      <c r="BC26" s="62"/>
      <c r="BD26" s="62"/>
      <c r="BE26" s="62"/>
    </row>
    <row r="27" spans="2:57" ht="13.05" customHeight="1" x14ac:dyDescent="0.3">
      <c r="B27" s="4"/>
      <c r="C27" s="698"/>
      <c r="D27" s="698"/>
      <c r="E27" s="699"/>
      <c r="F27" s="660">
        <v>6</v>
      </c>
      <c r="G27" s="661"/>
      <c r="H27" s="662"/>
      <c r="I27" s="622" t="str">
        <f>HLOOKUP(Language!$B$2,Language!$C$12:$H$656,201)</f>
        <v>ISHIKAWA methods were applied</v>
      </c>
      <c r="J27" s="623"/>
      <c r="K27" s="623"/>
      <c r="L27" s="623"/>
      <c r="M27" s="623"/>
      <c r="N27" s="623"/>
      <c r="O27" s="623"/>
      <c r="P27" s="623"/>
      <c r="Q27" s="623"/>
      <c r="R27" s="623"/>
      <c r="S27" s="623"/>
      <c r="T27" s="623"/>
      <c r="U27" s="623"/>
      <c r="V27" s="623"/>
      <c r="W27" s="623"/>
      <c r="X27" s="623"/>
      <c r="Y27" s="623"/>
      <c r="Z27" s="624"/>
      <c r="AA27" s="750">
        <f>Data!$F$50</f>
        <v>0</v>
      </c>
      <c r="AB27" s="751"/>
      <c r="AC27" s="752"/>
      <c r="AD27" s="201"/>
      <c r="AE27" s="201"/>
      <c r="AF27" s="201"/>
      <c r="AG27" s="202"/>
      <c r="AH27" s="201"/>
      <c r="AJ27"/>
      <c r="AK27" s="737"/>
      <c r="AL27" s="730" t="str">
        <f>HLOOKUP(Language!$B$2,Language!$C$12:$H$656,278)</f>
        <v>Per decision</v>
      </c>
      <c r="AM27" s="725">
        <v>1</v>
      </c>
      <c r="AN27" s="721" t="str">
        <f>HLOOKUP(Language!$B$2,Language!$C$12:$H$656,257)</f>
        <v>▪ Reproducibility of the error regarding its occurrence indicated as “Yes”
▪ Reproducibility of the error regarding its non-detection indicated as “Yes”
▪ If reproducibility of the error regarding its occurrence is indicated as “No,” then only include the definition
▪ If reproducibility of the error regarding its non-detection is indicated as “No,” then only include the definition</v>
      </c>
      <c r="AO27" s="62"/>
      <c r="AP27" s="62"/>
      <c r="AQ27" s="62"/>
      <c r="AR27" s="62"/>
      <c r="AS27" s="62"/>
      <c r="AT27" s="62"/>
      <c r="AU27" s="62"/>
      <c r="AV27" s="62"/>
      <c r="AW27" s="62"/>
      <c r="AX27" s="62"/>
      <c r="AY27" s="62"/>
      <c r="AZ27" s="62"/>
      <c r="BA27" s="62"/>
      <c r="BB27" s="62"/>
      <c r="BC27" s="62"/>
      <c r="BD27" s="62"/>
      <c r="BE27" s="62"/>
    </row>
    <row r="28" spans="2:57" ht="13.05" customHeight="1" x14ac:dyDescent="0.3">
      <c r="B28" s="4"/>
      <c r="C28" s="698"/>
      <c r="D28" s="698"/>
      <c r="E28" s="699"/>
      <c r="F28" s="660">
        <v>6</v>
      </c>
      <c r="G28" s="661"/>
      <c r="H28" s="662"/>
      <c r="I28" s="622" t="str">
        <f>HLOOKUP(Language!$B$2,Language!$C$12:$H$656,202)</f>
        <v>5- Why analysis was performed.</v>
      </c>
      <c r="J28" s="623"/>
      <c r="K28" s="623"/>
      <c r="L28" s="623"/>
      <c r="M28" s="623"/>
      <c r="N28" s="623"/>
      <c r="O28" s="623"/>
      <c r="P28" s="623"/>
      <c r="Q28" s="623"/>
      <c r="R28" s="623"/>
      <c r="S28" s="623"/>
      <c r="T28" s="623"/>
      <c r="U28" s="623"/>
      <c r="V28" s="623"/>
      <c r="W28" s="623"/>
      <c r="X28" s="623"/>
      <c r="Y28" s="623"/>
      <c r="Z28" s="624"/>
      <c r="AA28" s="709">
        <f>Data!$F$56</f>
        <v>0</v>
      </c>
      <c r="AB28" s="710"/>
      <c r="AC28" s="711"/>
      <c r="AD28" s="201"/>
      <c r="AE28" s="201"/>
      <c r="AF28" s="201"/>
      <c r="AG28" s="202"/>
      <c r="AH28" s="201"/>
      <c r="AI28" s="203"/>
      <c r="AJ28"/>
      <c r="AK28" s="737"/>
      <c r="AL28" s="730"/>
      <c r="AM28" s="725"/>
      <c r="AN28" s="721"/>
      <c r="AO28" s="62"/>
      <c r="AP28" s="62"/>
      <c r="AQ28" s="62"/>
      <c r="AR28" s="62"/>
      <c r="AS28" s="62"/>
      <c r="AT28" s="62"/>
      <c r="AU28" s="62"/>
      <c r="AV28" s="62"/>
      <c r="AW28" s="62"/>
      <c r="AX28" s="62"/>
      <c r="AY28" s="62"/>
      <c r="AZ28" s="62"/>
      <c r="BA28" s="62"/>
      <c r="BB28" s="62"/>
      <c r="BC28" s="62"/>
      <c r="BD28" s="62"/>
      <c r="BE28" s="62"/>
    </row>
    <row r="29" spans="2:57" ht="8.5500000000000007" customHeight="1" x14ac:dyDescent="0.3">
      <c r="B29" s="31"/>
      <c r="C29"/>
      <c r="D29"/>
      <c r="E29" s="218"/>
      <c r="F29" s="220"/>
      <c r="G29" s="220"/>
      <c r="H29" s="220"/>
      <c r="I29" s="220"/>
      <c r="J29" s="696"/>
      <c r="K29" s="696"/>
      <c r="L29" s="696"/>
      <c r="M29" s="696"/>
      <c r="N29" s="696"/>
      <c r="O29" s="696"/>
      <c r="P29" s="696"/>
      <c r="Q29" s="696"/>
      <c r="R29" s="696"/>
      <c r="S29" s="696"/>
      <c r="T29" s="696"/>
      <c r="U29" s="696"/>
      <c r="V29" s="696"/>
      <c r="W29" s="696"/>
      <c r="X29" s="696"/>
      <c r="Y29" s="696"/>
      <c r="Z29" s="220"/>
      <c r="AA29" s="220"/>
      <c r="AB29" s="220"/>
      <c r="AC29" s="220"/>
      <c r="AD29" s="243"/>
      <c r="AE29" s="199"/>
      <c r="AF29" s="199"/>
      <c r="AG29" s="200"/>
      <c r="AH29" s="199"/>
      <c r="AI29" s="203"/>
      <c r="AJ29" s="224"/>
      <c r="AK29" s="737"/>
      <c r="AL29" s="730"/>
      <c r="AM29" s="725"/>
      <c r="AN29" s="721"/>
      <c r="AO29" s="224"/>
      <c r="AP29" s="224"/>
      <c r="AQ29" s="224"/>
      <c r="AR29" s="224"/>
      <c r="AS29" s="224"/>
      <c r="AT29" s="224"/>
      <c r="AU29" s="224"/>
      <c r="AV29" s="224"/>
      <c r="AW29" s="224"/>
      <c r="AX29" s="224"/>
      <c r="AY29" s="224"/>
      <c r="AZ29" s="224"/>
      <c r="BA29" s="224"/>
      <c r="BB29" s="224"/>
      <c r="BC29" s="224"/>
      <c r="BD29" s="224"/>
      <c r="BE29" s="224"/>
    </row>
    <row r="30" spans="2:57" ht="8.5500000000000007" customHeight="1" x14ac:dyDescent="0.3">
      <c r="B30" s="31"/>
      <c r="C30"/>
      <c r="D30"/>
      <c r="E30" s="221"/>
      <c r="F30" s="222"/>
      <c r="G30" s="222"/>
      <c r="H30" s="222"/>
      <c r="I30" s="222"/>
      <c r="J30" s="697"/>
      <c r="K30" s="697"/>
      <c r="L30" s="697"/>
      <c r="M30" s="697"/>
      <c r="N30" s="697"/>
      <c r="O30" s="697"/>
      <c r="P30" s="697"/>
      <c r="Q30" s="697"/>
      <c r="R30" s="697"/>
      <c r="S30" s="697"/>
      <c r="T30" s="697"/>
      <c r="U30" s="697"/>
      <c r="V30" s="697"/>
      <c r="W30" s="697"/>
      <c r="X30" s="697"/>
      <c r="Y30" s="697"/>
      <c r="Z30" s="222"/>
      <c r="AA30" s="222"/>
      <c r="AB30" s="222"/>
      <c r="AC30" s="222"/>
      <c r="AD30" s="244"/>
      <c r="AE30" s="201"/>
      <c r="AF30" s="201"/>
      <c r="AG30" s="202"/>
      <c r="AH30" s="201"/>
      <c r="AJ30" s="224"/>
      <c r="AK30" s="737"/>
      <c r="AL30" s="730"/>
      <c r="AM30" s="725"/>
      <c r="AN30" s="721"/>
      <c r="AO30" s="224"/>
      <c r="AP30" s="224"/>
      <c r="AQ30" s="224"/>
      <c r="AR30" s="224"/>
      <c r="AS30" s="224"/>
      <c r="AT30" s="224"/>
      <c r="AU30" s="224"/>
      <c r="AV30" s="224"/>
      <c r="AW30" s="224"/>
      <c r="AX30" s="224"/>
      <c r="AY30" s="224"/>
      <c r="AZ30" s="224"/>
      <c r="BA30" s="224"/>
      <c r="BB30" s="224"/>
      <c r="BC30" s="224"/>
      <c r="BD30" s="224"/>
      <c r="BE30" s="224"/>
    </row>
    <row r="31" spans="2:57" ht="22.2" customHeight="1" x14ac:dyDescent="0.3">
      <c r="B31" s="85"/>
      <c r="C31" s="698" t="s">
        <v>385</v>
      </c>
      <c r="D31" s="698"/>
      <c r="E31" s="699"/>
      <c r="F31" s="607">
        <v>3</v>
      </c>
      <c r="G31" s="608"/>
      <c r="H31" s="609"/>
      <c r="I31" s="610" t="str">
        <f>HLOOKUP(Language!$B$2,Language!$C$12:$H$656,206)</f>
        <v>Plausible corrective actions to address the root cause of the error were identified.</v>
      </c>
      <c r="J31" s="611"/>
      <c r="K31" s="611"/>
      <c r="L31" s="611"/>
      <c r="M31" s="611"/>
      <c r="N31" s="611"/>
      <c r="O31" s="611"/>
      <c r="P31" s="611"/>
      <c r="Q31" s="611"/>
      <c r="R31" s="611"/>
      <c r="S31" s="611"/>
      <c r="T31" s="611"/>
      <c r="U31" s="611"/>
      <c r="V31" s="611"/>
      <c r="W31" s="611"/>
      <c r="X31" s="611"/>
      <c r="Y31" s="611"/>
      <c r="Z31" s="612"/>
      <c r="AA31" s="613">
        <f>Data!$F$59</f>
        <v>0</v>
      </c>
      <c r="AB31" s="614"/>
      <c r="AC31" s="615"/>
      <c r="AD31" s="205"/>
      <c r="AE31" s="205"/>
      <c r="AF31" s="205"/>
      <c r="AG31" s="206"/>
      <c r="AH31" s="205"/>
      <c r="AI31" s="207"/>
      <c r="AJ31" s="225"/>
      <c r="AK31" s="737"/>
      <c r="AL31" s="730"/>
      <c r="AM31" s="725"/>
      <c r="AN31" s="721"/>
      <c r="AO31" s="37"/>
      <c r="AP31" s="37"/>
      <c r="AQ31" s="37"/>
      <c r="AR31" s="37"/>
      <c r="AS31" s="37"/>
      <c r="AT31" s="37"/>
      <c r="AU31" s="37"/>
      <c r="AV31" s="37"/>
      <c r="AW31" s="37"/>
      <c r="AX31" s="37"/>
      <c r="AY31" s="37"/>
      <c r="AZ31" s="37"/>
      <c r="BA31" s="37"/>
      <c r="BB31" s="37"/>
      <c r="BC31" s="37"/>
      <c r="BD31" s="37"/>
      <c r="BE31" s="37"/>
    </row>
    <row r="32" spans="2:57" ht="13.05" customHeight="1" x14ac:dyDescent="0.3">
      <c r="B32" s="85"/>
      <c r="C32" s="698"/>
      <c r="D32" s="698"/>
      <c r="E32" s="699"/>
      <c r="F32" s="660">
        <v>3</v>
      </c>
      <c r="G32" s="661"/>
      <c r="H32" s="662"/>
      <c r="I32" s="622" t="str">
        <f>HLOOKUP(Language!$B$2,Language!$C$12:$H$656,207)</f>
        <v>Plausible corrective actions for error detection were identified.</v>
      </c>
      <c r="J32" s="623"/>
      <c r="K32" s="623"/>
      <c r="L32" s="623"/>
      <c r="M32" s="623"/>
      <c r="N32" s="623"/>
      <c r="O32" s="623"/>
      <c r="P32" s="623"/>
      <c r="Q32" s="623"/>
      <c r="R32" s="623"/>
      <c r="S32" s="623"/>
      <c r="T32" s="623"/>
      <c r="U32" s="623"/>
      <c r="V32" s="623"/>
      <c r="W32" s="623"/>
      <c r="X32" s="623"/>
      <c r="Y32" s="623"/>
      <c r="Z32" s="624"/>
      <c r="AA32" s="747">
        <f>Data!$F$61</f>
        <v>0</v>
      </c>
      <c r="AB32" s="748"/>
      <c r="AC32" s="749"/>
      <c r="AD32" s="201"/>
      <c r="AE32" s="201"/>
      <c r="AF32" s="201"/>
      <c r="AG32" s="202"/>
      <c r="AH32" s="201"/>
      <c r="AI32" s="203"/>
      <c r="AJ32"/>
      <c r="AK32" s="737"/>
      <c r="AL32" s="240" t="str">
        <f>HLOOKUP(Language!$B$2,Language!$C$12:$H$656,279)</f>
        <v>Per entry</v>
      </c>
      <c r="AM32" s="238">
        <v>0.25</v>
      </c>
      <c r="AN32" s="239" t="str">
        <f>HLOOKUP(Language!$B$2,Language!$C$12:$H$656,258)</f>
        <v>At least two entries per “method” for occurrence and non-detection (ISHIKAWA)</v>
      </c>
      <c r="AO32" s="37"/>
      <c r="AP32" s="37"/>
      <c r="AQ32" s="37"/>
      <c r="AR32" s="37"/>
      <c r="AS32" s="37"/>
      <c r="AT32" s="37"/>
      <c r="AU32" s="37"/>
      <c r="AV32" s="37"/>
      <c r="AW32" s="37"/>
      <c r="AX32" s="37"/>
      <c r="AY32" s="37"/>
      <c r="AZ32" s="37"/>
      <c r="BA32" s="37"/>
      <c r="BB32" s="37"/>
      <c r="BC32" s="37"/>
      <c r="BD32" s="37"/>
      <c r="BE32" s="37"/>
    </row>
    <row r="33" spans="2:57" ht="8.5500000000000007" customHeight="1" x14ac:dyDescent="0.3">
      <c r="B33" s="85"/>
      <c r="C33"/>
      <c r="D33"/>
      <c r="E33" s="218"/>
      <c r="F33" s="220"/>
      <c r="G33" s="220"/>
      <c r="H33" s="220"/>
      <c r="I33" s="220"/>
      <c r="J33" s="696"/>
      <c r="K33" s="696"/>
      <c r="L33" s="696"/>
      <c r="M33" s="696"/>
      <c r="N33" s="696"/>
      <c r="O33" s="696"/>
      <c r="P33" s="696"/>
      <c r="Q33" s="696"/>
      <c r="R33" s="696"/>
      <c r="S33" s="696"/>
      <c r="T33" s="696"/>
      <c r="U33" s="696"/>
      <c r="V33" s="696"/>
      <c r="W33" s="696"/>
      <c r="X33" s="696"/>
      <c r="Y33" s="696"/>
      <c r="Z33" s="220"/>
      <c r="AA33" s="220"/>
      <c r="AB33" s="220"/>
      <c r="AC33" s="220"/>
      <c r="AD33" s="243"/>
      <c r="AE33" s="201"/>
      <c r="AF33" s="201"/>
      <c r="AG33" s="202"/>
      <c r="AH33" s="201"/>
      <c r="AI33" s="203"/>
      <c r="AJ33" s="224"/>
      <c r="AK33" s="737"/>
      <c r="AL33" s="718" t="str">
        <f>HLOOKUP(Language!$B$2,Language!$C$12:$H$656,280)</f>
        <v>Each “Why”</v>
      </c>
      <c r="AM33" s="725">
        <v>1</v>
      </c>
      <c r="AN33" s="723" t="str">
        <f>HLOOKUP(Language!$B$2,Language!$C$12:$H$656,259)</f>
        <v>At least three “whys” must be specified for occurrences and undetected instances</v>
      </c>
      <c r="AO33" s="224"/>
      <c r="AP33" s="224"/>
      <c r="AQ33" s="224"/>
      <c r="AR33" s="224"/>
      <c r="AS33" s="224"/>
      <c r="AT33" s="224"/>
      <c r="AU33" s="224"/>
      <c r="AV33" s="224"/>
      <c r="AW33" s="224"/>
      <c r="AX33" s="224"/>
      <c r="AY33" s="224"/>
      <c r="AZ33" s="224"/>
      <c r="BA33" s="224"/>
      <c r="BB33" s="224"/>
      <c r="BC33" s="224"/>
      <c r="BD33" s="224"/>
      <c r="BE33" s="224"/>
    </row>
    <row r="34" spans="2:57" ht="8.5500000000000007" customHeight="1" thickBot="1" x14ac:dyDescent="0.35">
      <c r="B34" s="85"/>
      <c r="C34"/>
      <c r="D34"/>
      <c r="E34" s="221"/>
      <c r="F34" s="222"/>
      <c r="G34" s="222"/>
      <c r="H34" s="222"/>
      <c r="I34" s="222"/>
      <c r="J34" s="697"/>
      <c r="K34" s="697"/>
      <c r="L34" s="697"/>
      <c r="M34" s="697"/>
      <c r="N34" s="697"/>
      <c r="O34" s="697"/>
      <c r="P34" s="697"/>
      <c r="Q34" s="697"/>
      <c r="R34" s="697"/>
      <c r="S34" s="697"/>
      <c r="T34" s="697"/>
      <c r="U34" s="697"/>
      <c r="V34" s="697"/>
      <c r="W34" s="697"/>
      <c r="X34" s="697"/>
      <c r="Y34" s="697"/>
      <c r="Z34" s="222"/>
      <c r="AA34" s="222"/>
      <c r="AB34" s="222"/>
      <c r="AC34" s="222"/>
      <c r="AD34" s="244"/>
      <c r="AE34" s="201"/>
      <c r="AF34" s="201"/>
      <c r="AG34" s="202"/>
      <c r="AH34" s="201"/>
      <c r="AI34" s="203"/>
      <c r="AJ34" s="224"/>
      <c r="AK34" s="738"/>
      <c r="AL34" s="719"/>
      <c r="AM34" s="715"/>
      <c r="AN34" s="713"/>
      <c r="AO34" s="224"/>
      <c r="AP34" s="224"/>
      <c r="AQ34" s="224"/>
      <c r="AR34" s="224"/>
      <c r="AS34" s="224"/>
      <c r="AT34" s="224"/>
      <c r="AU34" s="224"/>
      <c r="AV34" s="224"/>
      <c r="AW34" s="224"/>
      <c r="AX34" s="224"/>
      <c r="AY34" s="224"/>
      <c r="AZ34" s="224"/>
      <c r="BA34" s="224"/>
      <c r="BB34" s="224"/>
      <c r="BC34" s="224"/>
      <c r="BD34" s="224"/>
      <c r="BE34" s="224"/>
    </row>
    <row r="35" spans="2:57" ht="20.399999999999999" customHeight="1" x14ac:dyDescent="0.3">
      <c r="B35" s="85"/>
      <c r="C35" s="698" t="s">
        <v>386</v>
      </c>
      <c r="D35" s="698"/>
      <c r="E35" s="699"/>
      <c r="F35" s="607">
        <v>4</v>
      </c>
      <c r="G35" s="608"/>
      <c r="H35" s="609"/>
      <c r="I35" s="610" t="str">
        <f>HLOOKUP(Language!$B$2,Language!$C$12:$H$656,210)</f>
        <v>Plausible corrective actions to address the root cause of the error have been implemented.</v>
      </c>
      <c r="J35" s="611"/>
      <c r="K35" s="611"/>
      <c r="L35" s="611"/>
      <c r="M35" s="611"/>
      <c r="N35" s="611"/>
      <c r="O35" s="611"/>
      <c r="P35" s="611"/>
      <c r="Q35" s="611"/>
      <c r="R35" s="611"/>
      <c r="S35" s="611"/>
      <c r="T35" s="611"/>
      <c r="U35" s="611"/>
      <c r="V35" s="611"/>
      <c r="W35" s="611"/>
      <c r="X35" s="611"/>
      <c r="Y35" s="611"/>
      <c r="Z35" s="612"/>
      <c r="AA35" s="613">
        <f>Data!$F$63</f>
        <v>0</v>
      </c>
      <c r="AB35" s="614"/>
      <c r="AC35" s="615"/>
      <c r="AD35" s="208"/>
      <c r="AE35" s="201"/>
      <c r="AF35" s="201"/>
      <c r="AG35" s="202"/>
      <c r="AH35" s="201"/>
      <c r="AI35" s="203"/>
      <c r="AJ35" s="208"/>
      <c r="AK35" s="739" t="s">
        <v>385</v>
      </c>
      <c r="AL35" s="227" t="str">
        <f>HLOOKUP(Language!$B$2,Language!$C$12:$H$656,277)</f>
        <v>Per action</v>
      </c>
      <c r="AM35" s="228">
        <v>2</v>
      </c>
      <c r="AN35" s="233" t="str">
        <f>HLOOKUP(Language!$B$2,Language!$C$12:$H$656,260)</f>
        <v>At least two corrective actions were identified to address the root cause</v>
      </c>
      <c r="AO35" s="37"/>
      <c r="AP35" s="37"/>
      <c r="AQ35" s="37"/>
      <c r="AR35" s="37"/>
      <c r="AS35" s="37"/>
      <c r="AT35" s="37"/>
      <c r="AU35" s="37"/>
      <c r="AV35" s="37"/>
      <c r="AW35" s="37"/>
      <c r="AX35" s="37"/>
      <c r="AY35" s="37"/>
      <c r="AZ35" s="37"/>
      <c r="BA35" s="37"/>
      <c r="BB35" s="37"/>
      <c r="BC35" s="37"/>
      <c r="BD35" s="37"/>
      <c r="BE35" s="37"/>
    </row>
    <row r="36" spans="2:57" ht="13.05" customHeight="1" thickBot="1" x14ac:dyDescent="0.35">
      <c r="B36" s="85"/>
      <c r="C36" s="698"/>
      <c r="D36" s="698"/>
      <c r="E36" s="699"/>
      <c r="F36" s="660">
        <v>4</v>
      </c>
      <c r="G36" s="661"/>
      <c r="H36" s="662"/>
      <c r="I36" s="622" t="str">
        <f>HLOOKUP(Language!$B$2,Language!$C$12:$H$656,211)</f>
        <v>Plausible corrective actions for error detection have been implemented.</v>
      </c>
      <c r="J36" s="623"/>
      <c r="K36" s="623"/>
      <c r="L36" s="623"/>
      <c r="M36" s="623"/>
      <c r="N36" s="623"/>
      <c r="O36" s="623"/>
      <c r="P36" s="623"/>
      <c r="Q36" s="623"/>
      <c r="R36" s="623"/>
      <c r="S36" s="623"/>
      <c r="T36" s="623"/>
      <c r="U36" s="623"/>
      <c r="V36" s="623"/>
      <c r="W36" s="623"/>
      <c r="X36" s="623"/>
      <c r="Y36" s="623"/>
      <c r="Z36" s="624"/>
      <c r="AA36" s="604">
        <f>Data!$F$64</f>
        <v>0</v>
      </c>
      <c r="AB36" s="605"/>
      <c r="AC36" s="606"/>
      <c r="AD36" s="199"/>
      <c r="AE36" s="199"/>
      <c r="AF36" s="199"/>
      <c r="AG36" s="200"/>
      <c r="AH36" s="199"/>
      <c r="AI36" s="203"/>
      <c r="AJ36"/>
      <c r="AK36" s="740"/>
      <c r="AL36" s="230" t="str">
        <f>HLOOKUP(Language!$B$2,Language!$C$12:$H$656,277)</f>
        <v>Per action</v>
      </c>
      <c r="AM36" s="234">
        <v>2</v>
      </c>
      <c r="AN36" s="235" t="str">
        <f>HLOOKUP(Language!$B$2,Language!$C$12:$H$656,261)</f>
        <v>At least two corrective actions for detection were identified</v>
      </c>
      <c r="AO36" s="37"/>
      <c r="AP36" s="37"/>
      <c r="AQ36" s="37"/>
      <c r="AR36" s="37"/>
      <c r="AS36" s="37"/>
      <c r="AT36" s="37"/>
      <c r="AU36" s="37"/>
      <c r="AV36" s="37"/>
      <c r="AW36" s="37"/>
      <c r="AX36" s="37"/>
      <c r="AY36" s="37"/>
      <c r="AZ36" s="37"/>
      <c r="BA36" s="37"/>
      <c r="BB36" s="37"/>
      <c r="BC36" s="37"/>
      <c r="BD36" s="37"/>
      <c r="BE36" s="37"/>
    </row>
    <row r="37" spans="2:57" ht="13.05" customHeight="1" x14ac:dyDescent="0.3">
      <c r="B37" s="85"/>
      <c r="C37" s="698"/>
      <c r="D37" s="698"/>
      <c r="E37" s="699"/>
      <c r="F37" s="619">
        <v>2</v>
      </c>
      <c r="G37" s="620"/>
      <c r="H37" s="621"/>
      <c r="I37" s="622" t="str">
        <f>HLOOKUP(Language!$B$2,Language!$C$12:$H$656,212)</f>
        <v>The effectiveness of the implemented corrective actions has been verified.</v>
      </c>
      <c r="J37" s="623"/>
      <c r="K37" s="623"/>
      <c r="L37" s="623"/>
      <c r="M37" s="623"/>
      <c r="N37" s="623"/>
      <c r="O37" s="623"/>
      <c r="P37" s="623"/>
      <c r="Q37" s="623"/>
      <c r="R37" s="623"/>
      <c r="S37" s="623"/>
      <c r="T37" s="623"/>
      <c r="U37" s="623"/>
      <c r="V37" s="623"/>
      <c r="W37" s="623"/>
      <c r="X37" s="623"/>
      <c r="Y37" s="623"/>
      <c r="Z37" s="624"/>
      <c r="AA37" s="625">
        <f>Data!$F$65</f>
        <v>0</v>
      </c>
      <c r="AB37" s="626"/>
      <c r="AC37" s="627"/>
      <c r="AD37" s="199"/>
      <c r="AE37" s="199"/>
      <c r="AF37" s="199"/>
      <c r="AG37" s="200"/>
      <c r="AH37" s="199"/>
      <c r="AI37" s="203"/>
      <c r="AJ37"/>
      <c r="AK37" s="739" t="s">
        <v>386</v>
      </c>
      <c r="AL37" s="241"/>
      <c r="AM37" s="237">
        <v>2</v>
      </c>
      <c r="AN37" s="242" t="str">
        <f>HLOOKUP(Language!$B$2,Language!$C$12:$H$656,262)</f>
        <v>At least one corrective action to address the root cause has been implemented and validated</v>
      </c>
      <c r="AO37" s="37"/>
      <c r="AP37" s="37"/>
      <c r="AQ37" s="37"/>
      <c r="AR37" s="37"/>
      <c r="AS37" s="37"/>
      <c r="AT37" s="37"/>
      <c r="AU37" s="37"/>
      <c r="AV37" s="37"/>
      <c r="AW37" s="37"/>
      <c r="AX37" s="37"/>
      <c r="AY37" s="37"/>
      <c r="AZ37" s="37"/>
      <c r="BA37" s="37"/>
      <c r="BB37" s="37"/>
      <c r="BC37" s="37"/>
      <c r="BD37" s="37"/>
      <c r="BE37" s="37"/>
    </row>
    <row r="38" spans="2:57" ht="8.5500000000000007" customHeight="1" x14ac:dyDescent="0.3">
      <c r="B38" s="85"/>
      <c r="C38"/>
      <c r="D38"/>
      <c r="E38" s="218"/>
      <c r="F38" s="219"/>
      <c r="G38" s="219"/>
      <c r="H38" s="219"/>
      <c r="I38" s="220"/>
      <c r="J38" s="696"/>
      <c r="K38" s="696"/>
      <c r="L38" s="696"/>
      <c r="M38" s="696"/>
      <c r="N38" s="696"/>
      <c r="O38" s="696"/>
      <c r="P38" s="696"/>
      <c r="Q38" s="696"/>
      <c r="R38" s="696"/>
      <c r="S38" s="696"/>
      <c r="T38" s="696"/>
      <c r="U38" s="696"/>
      <c r="V38" s="696"/>
      <c r="W38" s="696"/>
      <c r="X38" s="696"/>
      <c r="Y38" s="696"/>
      <c r="Z38" s="220"/>
      <c r="AA38" s="219"/>
      <c r="AB38" s="219"/>
      <c r="AC38" s="219"/>
      <c r="AD38" s="243"/>
      <c r="AE38" s="199"/>
      <c r="AF38" s="199"/>
      <c r="AG38" s="200"/>
      <c r="AH38" s="199"/>
      <c r="AI38" s="203"/>
      <c r="AJ38" s="224"/>
      <c r="AK38" s="741"/>
      <c r="AL38" s="718"/>
      <c r="AM38" s="725">
        <v>2</v>
      </c>
      <c r="AN38" s="723" t="str">
        <f>HLOOKUP(Language!$B$2,Language!$C$12:$H$656,263)</f>
        <v>At least one corrective action for detection has been implemented and validated</v>
      </c>
      <c r="AO38" s="224"/>
      <c r="AP38" s="224"/>
      <c r="AQ38" s="224"/>
      <c r="AR38" s="224"/>
      <c r="AS38" s="224"/>
      <c r="AT38" s="224"/>
      <c r="AU38" s="224"/>
      <c r="AV38" s="224"/>
      <c r="AW38" s="224"/>
      <c r="AX38" s="224"/>
      <c r="AY38" s="224"/>
      <c r="AZ38" s="224"/>
      <c r="BA38" s="224"/>
      <c r="BB38" s="224"/>
      <c r="BC38" s="224"/>
      <c r="BD38" s="224"/>
      <c r="BE38" s="224"/>
    </row>
    <row r="39" spans="2:57" ht="8.5500000000000007" customHeight="1" thickBot="1" x14ac:dyDescent="0.35">
      <c r="B39" s="85"/>
      <c r="C39"/>
      <c r="D39"/>
      <c r="E39" s="221"/>
      <c r="F39" s="222"/>
      <c r="G39" s="222"/>
      <c r="H39" s="222"/>
      <c r="I39" s="222"/>
      <c r="J39" s="697"/>
      <c r="K39" s="697"/>
      <c r="L39" s="697"/>
      <c r="M39" s="697"/>
      <c r="N39" s="697"/>
      <c r="O39" s="697"/>
      <c r="P39" s="697"/>
      <c r="Q39" s="697"/>
      <c r="R39" s="697"/>
      <c r="S39" s="697"/>
      <c r="T39" s="697"/>
      <c r="U39" s="697"/>
      <c r="V39" s="697"/>
      <c r="W39" s="697"/>
      <c r="X39" s="697"/>
      <c r="Y39" s="697"/>
      <c r="Z39" s="222"/>
      <c r="AA39" s="222"/>
      <c r="AB39" s="222"/>
      <c r="AC39" s="222"/>
      <c r="AD39" s="244"/>
      <c r="AE39" s="201"/>
      <c r="AF39" s="201"/>
      <c r="AG39" s="202"/>
      <c r="AH39" s="201"/>
      <c r="AI39" s="203"/>
      <c r="AJ39" s="224"/>
      <c r="AK39" s="740"/>
      <c r="AL39" s="719"/>
      <c r="AM39" s="715"/>
      <c r="AN39" s="713"/>
      <c r="AO39" s="224"/>
      <c r="AP39" s="224"/>
      <c r="AQ39" s="224"/>
      <c r="AR39" s="224"/>
      <c r="AS39" s="224"/>
      <c r="AT39" s="224"/>
      <c r="AU39" s="224"/>
      <c r="AV39" s="224"/>
      <c r="AW39" s="224"/>
      <c r="AX39" s="224"/>
      <c r="AY39" s="224"/>
      <c r="AZ39" s="224"/>
      <c r="BA39" s="224"/>
      <c r="BB39" s="224"/>
      <c r="BC39" s="224"/>
      <c r="BD39" s="224"/>
      <c r="BE39" s="224"/>
    </row>
    <row r="40" spans="2:57" ht="13.05" customHeight="1" x14ac:dyDescent="0.3">
      <c r="B40" s="85"/>
      <c r="C40" s="698" t="s">
        <v>387</v>
      </c>
      <c r="D40" s="698"/>
      <c r="E40" s="699"/>
      <c r="F40" s="607">
        <v>2</v>
      </c>
      <c r="G40" s="608"/>
      <c r="H40" s="609"/>
      <c r="I40" s="610" t="str">
        <f>HLOOKUP(Language!$B$2,Language!$C$12:$H$656,214)</f>
        <v>The FMEA and the PLP have been updated and documented (before / after).</v>
      </c>
      <c r="J40" s="611"/>
      <c r="K40" s="611"/>
      <c r="L40" s="611"/>
      <c r="M40" s="611"/>
      <c r="N40" s="611"/>
      <c r="O40" s="611"/>
      <c r="P40" s="611"/>
      <c r="Q40" s="611"/>
      <c r="R40" s="611"/>
      <c r="S40" s="611"/>
      <c r="T40" s="611"/>
      <c r="U40" s="611"/>
      <c r="V40" s="611"/>
      <c r="W40" s="611"/>
      <c r="X40" s="611"/>
      <c r="Y40" s="611"/>
      <c r="Z40" s="612"/>
      <c r="AA40" s="613">
        <f>Data!$F$68</f>
        <v>0</v>
      </c>
      <c r="AB40" s="614"/>
      <c r="AC40" s="615"/>
      <c r="AD40" s="201"/>
      <c r="AE40" s="201"/>
      <c r="AF40" s="201"/>
      <c r="AG40" s="202"/>
      <c r="AH40" s="201"/>
      <c r="AI40" s="203"/>
      <c r="AJ40" s="72"/>
      <c r="AK40" s="739" t="s">
        <v>387</v>
      </c>
      <c r="AL40" s="227"/>
      <c r="AM40" s="228">
        <v>2</v>
      </c>
      <c r="AN40" s="229" t="str">
        <f>HLOOKUP(Language!$B$2,Language!$C$12:$H$656,264)</f>
        <v>The efficacy study was presented</v>
      </c>
      <c r="AO40" s="62"/>
      <c r="AP40" s="62"/>
      <c r="AQ40" s="62"/>
      <c r="AR40" s="62"/>
      <c r="AS40" s="62"/>
      <c r="AT40" s="62"/>
      <c r="AU40" s="62"/>
      <c r="AV40" s="62"/>
      <c r="AW40" s="62"/>
      <c r="AX40" s="62"/>
      <c r="AY40" s="62"/>
      <c r="AZ40" s="62"/>
      <c r="BA40" s="62"/>
      <c r="BB40" s="62"/>
      <c r="BC40" s="62"/>
      <c r="BD40" s="62"/>
      <c r="BE40" s="62"/>
    </row>
    <row r="41" spans="2:57" ht="13.05" customHeight="1" x14ac:dyDescent="0.3">
      <c r="B41" s="85"/>
      <c r="C41" s="698"/>
      <c r="D41" s="698"/>
      <c r="E41" s="699"/>
      <c r="F41" s="660">
        <v>2</v>
      </c>
      <c r="G41" s="661"/>
      <c r="H41" s="662"/>
      <c r="I41" s="622" t="str">
        <f>HLOOKUP(Language!$B$2,Language!$C$12:$H$656,215)</f>
        <v>Actions against repeat errors / implementation Lessons learned were provided.</v>
      </c>
      <c r="J41" s="623"/>
      <c r="K41" s="623"/>
      <c r="L41" s="623"/>
      <c r="M41" s="623"/>
      <c r="N41" s="623"/>
      <c r="O41" s="623"/>
      <c r="P41" s="623"/>
      <c r="Q41" s="623"/>
      <c r="R41" s="623"/>
      <c r="S41" s="623"/>
      <c r="T41" s="623"/>
      <c r="U41" s="623"/>
      <c r="V41" s="623"/>
      <c r="W41" s="623"/>
      <c r="X41" s="623"/>
      <c r="Y41" s="623"/>
      <c r="Z41" s="624"/>
      <c r="AA41" s="604">
        <f>Data!$F$69</f>
        <v>0</v>
      </c>
      <c r="AB41" s="605"/>
      <c r="AC41" s="606"/>
      <c r="AD41" s="199"/>
      <c r="AE41" s="199"/>
      <c r="AF41" s="199"/>
      <c r="AG41" s="200"/>
      <c r="AH41" s="199"/>
      <c r="AI41" s="203"/>
      <c r="AJ41" s="72"/>
      <c r="AK41" s="741"/>
      <c r="AL41" s="732" t="str">
        <f>HLOOKUP(Language!$B$2,Language!$C$12:$H$656,281)</f>
        <v>Per document</v>
      </c>
      <c r="AM41" s="726">
        <v>1</v>
      </c>
      <c r="AN41" s="724" t="str">
        <f>HLOOKUP(Language!$B$2,Language!$C$12:$H$656,265)</f>
        <v>▪ FMEA reports have been updated and documented.
▪ PLP reports have been updated and documented.</v>
      </c>
      <c r="AO41" s="62"/>
      <c r="AP41" s="62"/>
      <c r="AQ41" s="62"/>
      <c r="AR41" s="62"/>
      <c r="AS41" s="62"/>
      <c r="AT41" s="62"/>
      <c r="AU41" s="62"/>
      <c r="AV41" s="62"/>
      <c r="AW41" s="62"/>
      <c r="AX41" s="62"/>
      <c r="AY41" s="62"/>
      <c r="AZ41" s="62"/>
      <c r="BA41" s="62"/>
      <c r="BB41" s="62"/>
      <c r="BC41" s="62"/>
      <c r="BD41" s="62"/>
      <c r="BE41" s="62"/>
    </row>
    <row r="42" spans="2:57" ht="22.05" customHeight="1" x14ac:dyDescent="0.3">
      <c r="B42" s="4"/>
      <c r="C42" s="698"/>
      <c r="D42" s="698"/>
      <c r="E42" s="699"/>
      <c r="F42" s="619">
        <v>3</v>
      </c>
      <c r="G42" s="620"/>
      <c r="H42" s="621"/>
      <c r="I42" s="622" t="str">
        <f>HLOOKUP(Language!$B$2,Language!$C$12:$H$656,216)</f>
        <v>Breakpoint has been set. Identification of OK material and when the first delivery with OK material will reach Elektra.</v>
      </c>
      <c r="J42" s="623"/>
      <c r="K42" s="623"/>
      <c r="L42" s="623"/>
      <c r="M42" s="623"/>
      <c r="N42" s="623"/>
      <c r="O42" s="623"/>
      <c r="P42" s="623"/>
      <c r="Q42" s="623"/>
      <c r="R42" s="623"/>
      <c r="S42" s="623"/>
      <c r="T42" s="623"/>
      <c r="U42" s="623"/>
      <c r="V42" s="623"/>
      <c r="W42" s="623"/>
      <c r="X42" s="623"/>
      <c r="Y42" s="623"/>
      <c r="Z42" s="624"/>
      <c r="AA42" s="625">
        <f>Data!$F$70</f>
        <v>0</v>
      </c>
      <c r="AB42" s="626"/>
      <c r="AC42" s="627"/>
      <c r="AD42" s="199"/>
      <c r="AE42" s="199"/>
      <c r="AF42" s="199"/>
      <c r="AG42" s="200"/>
      <c r="AH42" s="199"/>
      <c r="AI42" s="203"/>
      <c r="AJ42"/>
      <c r="AK42" s="741"/>
      <c r="AL42" s="732"/>
      <c r="AM42" s="726"/>
      <c r="AN42" s="724"/>
      <c r="AO42" s="62"/>
      <c r="AP42" s="62"/>
      <c r="AQ42" s="62"/>
      <c r="AR42" s="62"/>
      <c r="AS42" s="62"/>
      <c r="AT42" s="62"/>
      <c r="AU42" s="62"/>
      <c r="AV42" s="62"/>
      <c r="AW42" s="62"/>
      <c r="AX42" s="62"/>
      <c r="AY42" s="62"/>
      <c r="AZ42" s="62"/>
      <c r="BA42" s="62"/>
      <c r="BB42" s="62"/>
      <c r="BC42" s="62"/>
      <c r="BD42" s="62"/>
      <c r="BE42" s="62"/>
    </row>
    <row r="43" spans="2:57" ht="8.5500000000000007" customHeight="1" x14ac:dyDescent="0.3">
      <c r="B43" s="85"/>
      <c r="C43"/>
      <c r="D43"/>
      <c r="E43" s="218"/>
      <c r="F43" s="219"/>
      <c r="G43" s="219"/>
      <c r="H43" s="219"/>
      <c r="I43" s="220"/>
      <c r="J43" s="696"/>
      <c r="K43" s="696"/>
      <c r="L43" s="696"/>
      <c r="M43" s="696"/>
      <c r="N43" s="696"/>
      <c r="O43" s="696"/>
      <c r="P43" s="696"/>
      <c r="Q43" s="696"/>
      <c r="R43" s="696"/>
      <c r="S43" s="696"/>
      <c r="T43" s="696"/>
      <c r="U43" s="696"/>
      <c r="V43" s="696"/>
      <c r="W43" s="696"/>
      <c r="X43" s="696"/>
      <c r="Y43" s="696"/>
      <c r="Z43" s="220"/>
      <c r="AA43" s="219"/>
      <c r="AB43" s="219"/>
      <c r="AC43" s="219"/>
      <c r="AD43" s="243"/>
      <c r="AE43" s="199"/>
      <c r="AF43" s="199"/>
      <c r="AG43" s="200"/>
      <c r="AH43" s="199"/>
      <c r="AI43" s="203"/>
      <c r="AJ43" s="224"/>
      <c r="AK43" s="741"/>
      <c r="AL43" s="733"/>
      <c r="AM43" s="726">
        <v>2</v>
      </c>
      <c r="AN43" s="724" t="str">
        <f>HLOOKUP(Language!$B$2,Language!$C$12:$H$656,266)</f>
        <v>At least one action has been taken to prevent recurring errors</v>
      </c>
      <c r="AO43" s="224"/>
      <c r="AP43" s="224"/>
      <c r="AQ43" s="224"/>
      <c r="AR43" s="224"/>
      <c r="AS43" s="224"/>
      <c r="AT43" s="224"/>
      <c r="AU43" s="224"/>
      <c r="AV43" s="224"/>
      <c r="AW43" s="224"/>
      <c r="AX43" s="224"/>
      <c r="AY43" s="224"/>
      <c r="AZ43" s="224"/>
      <c r="BA43" s="224"/>
      <c r="BB43" s="224"/>
      <c r="BC43" s="224"/>
      <c r="BD43" s="224"/>
      <c r="BE43" s="224"/>
    </row>
    <row r="44" spans="2:57" ht="8.5500000000000007" customHeight="1" x14ac:dyDescent="0.3">
      <c r="B44" s="85"/>
      <c r="C44"/>
      <c r="D44"/>
      <c r="E44" s="221"/>
      <c r="F44" s="222"/>
      <c r="G44" s="222"/>
      <c r="H44" s="222"/>
      <c r="I44" s="222"/>
      <c r="J44" s="697"/>
      <c r="K44" s="697"/>
      <c r="L44" s="697"/>
      <c r="M44" s="697"/>
      <c r="N44" s="697"/>
      <c r="O44" s="697"/>
      <c r="P44" s="697"/>
      <c r="Q44" s="697"/>
      <c r="R44" s="697"/>
      <c r="S44" s="697"/>
      <c r="T44" s="697"/>
      <c r="U44" s="697"/>
      <c r="V44" s="697"/>
      <c r="W44" s="697"/>
      <c r="X44" s="697"/>
      <c r="Y44" s="697"/>
      <c r="Z44" s="222"/>
      <c r="AA44" s="222"/>
      <c r="AB44" s="222"/>
      <c r="AC44" s="222"/>
      <c r="AD44" s="244"/>
      <c r="AE44" s="201"/>
      <c r="AF44" s="201"/>
      <c r="AG44" s="202"/>
      <c r="AH44" s="201"/>
      <c r="AI44" s="203"/>
      <c r="AJ44" s="224"/>
      <c r="AK44" s="741"/>
      <c r="AL44" s="733"/>
      <c r="AM44" s="726"/>
      <c r="AN44" s="724"/>
      <c r="AO44" s="224"/>
      <c r="AP44" s="224"/>
      <c r="AQ44" s="224"/>
      <c r="AR44" s="224"/>
      <c r="AS44" s="224"/>
      <c r="AT44" s="224"/>
      <c r="AU44" s="224"/>
      <c r="AV44" s="224"/>
      <c r="AW44" s="224"/>
      <c r="AX44" s="224"/>
      <c r="AY44" s="224"/>
      <c r="AZ44" s="224"/>
      <c r="BA44" s="224"/>
      <c r="BB44" s="224"/>
      <c r="BC44" s="224"/>
      <c r="BD44" s="224"/>
      <c r="BE44" s="224"/>
    </row>
    <row r="45" spans="2:57" ht="13.05" customHeight="1" thickBot="1" x14ac:dyDescent="0.35">
      <c r="B45" s="85"/>
      <c r="C45" s="698" t="s">
        <v>388</v>
      </c>
      <c r="D45" s="698"/>
      <c r="E45" s="699"/>
      <c r="F45" s="607">
        <v>1</v>
      </c>
      <c r="G45" s="608"/>
      <c r="H45" s="609"/>
      <c r="I45" s="681" t="str">
        <f>HLOOKUP(Language!$B$2,Language!$C$12:$H$656,220)</f>
        <v>8D was proposed for closure and signed by the team leader.</v>
      </c>
      <c r="J45" s="682"/>
      <c r="K45" s="682"/>
      <c r="L45" s="682"/>
      <c r="M45" s="682"/>
      <c r="N45" s="682"/>
      <c r="O45" s="682"/>
      <c r="P45" s="682"/>
      <c r="Q45" s="682"/>
      <c r="R45" s="682"/>
      <c r="S45" s="682"/>
      <c r="T45" s="682"/>
      <c r="U45" s="682"/>
      <c r="V45" s="682"/>
      <c r="W45" s="682"/>
      <c r="X45" s="682"/>
      <c r="Y45" s="682"/>
      <c r="Z45" s="683"/>
      <c r="AA45" s="684">
        <f>Data!$F$72</f>
        <v>0</v>
      </c>
      <c r="AB45" s="685"/>
      <c r="AC45" s="686"/>
      <c r="AD45" s="203"/>
      <c r="AE45" s="203"/>
      <c r="AF45" s="203"/>
      <c r="AG45" s="209"/>
      <c r="AH45" s="203"/>
      <c r="AI45" s="203"/>
      <c r="AJ45" s="72"/>
      <c r="AK45" s="740"/>
      <c r="AL45" s="230"/>
      <c r="AM45" s="231">
        <v>3</v>
      </c>
      <c r="AN45" s="232" t="str">
        <f>HLOOKUP(Language!$B$2,Language!$C$12:$H$656,267)</f>
        <v>The shipping date and delivery note number have been defined</v>
      </c>
      <c r="AO45" s="37"/>
      <c r="AP45" s="37"/>
      <c r="AQ45" s="37"/>
      <c r="AR45" s="37"/>
      <c r="AS45" s="37"/>
      <c r="AT45" s="37"/>
      <c r="AU45" s="37"/>
      <c r="AV45" s="37"/>
      <c r="AW45" s="37"/>
      <c r="AX45" s="37"/>
      <c r="AY45" s="37"/>
      <c r="AZ45" s="37"/>
      <c r="BA45" s="37"/>
      <c r="BB45" s="37"/>
      <c r="BC45" s="37"/>
      <c r="BD45" s="37"/>
      <c r="BE45" s="37"/>
    </row>
    <row r="46" spans="2:57" ht="7.95" customHeight="1" x14ac:dyDescent="0.3">
      <c r="B46" s="85"/>
      <c r="C46"/>
      <c r="D46"/>
      <c r="E46" s="204"/>
      <c r="F46" s="663">
        <f>($F$17+$F$13+$F$14+$F$18+$F$19+$F$22+$F$23+$F$26+$F$27+$F$28+$F$31+$F$32+$F$35+$F$36+$F$40+$F$41+$F$45+$F$42+F37)</f>
        <v>57</v>
      </c>
      <c r="G46" s="664"/>
      <c r="H46" s="665"/>
      <c r="I46" s="210"/>
      <c r="J46" s="210"/>
      <c r="K46" s="211"/>
      <c r="L46" s="211"/>
      <c r="M46" s="211"/>
      <c r="N46" s="211"/>
      <c r="O46" s="211"/>
      <c r="P46" s="211"/>
      <c r="Q46" s="211"/>
      <c r="R46" s="211"/>
      <c r="S46" s="211"/>
      <c r="T46" s="211"/>
      <c r="U46" s="211"/>
      <c r="V46" s="211"/>
      <c r="W46" s="211"/>
      <c r="X46" s="211"/>
      <c r="Y46" s="211"/>
      <c r="Z46" s="211"/>
      <c r="AA46" s="628">
        <f>(Data!$F$73*100)/$F$46</f>
        <v>0</v>
      </c>
      <c r="AB46" s="629"/>
      <c r="AC46" s="632" t="s">
        <v>389</v>
      </c>
      <c r="AD46" s="212"/>
      <c r="AE46" s="212"/>
      <c r="AF46" s="212"/>
      <c r="AG46" s="213"/>
      <c r="AH46" s="203"/>
      <c r="AI46" s="203"/>
      <c r="AK46" s="734" t="s">
        <v>388</v>
      </c>
      <c r="AL46" s="716"/>
      <c r="AM46" s="714">
        <v>1</v>
      </c>
      <c r="AN46" s="712" t="str">
        <f>HLOOKUP(Language!$B$2,Language!$C$12:$H$656,220)</f>
        <v>8D was proposed for closure and signed by the team leader.</v>
      </c>
    </row>
    <row r="47" spans="2:57" ht="7.95" customHeight="1" thickBot="1" x14ac:dyDescent="0.35">
      <c r="B47" s="85"/>
      <c r="C47"/>
      <c r="D47"/>
      <c r="E47" s="204"/>
      <c r="F47" s="666"/>
      <c r="G47" s="667"/>
      <c r="H47" s="668"/>
      <c r="I47" s="211"/>
      <c r="J47" s="211"/>
      <c r="K47" s="211"/>
      <c r="L47" s="211"/>
      <c r="M47" s="211"/>
      <c r="N47" s="211"/>
      <c r="O47" s="211"/>
      <c r="P47" s="211"/>
      <c r="Q47" s="211"/>
      <c r="R47" s="211"/>
      <c r="S47" s="211"/>
      <c r="T47" s="211"/>
      <c r="U47" s="211"/>
      <c r="V47" s="211"/>
      <c r="W47" s="211"/>
      <c r="X47" s="211"/>
      <c r="Y47" s="211"/>
      <c r="Z47" s="211"/>
      <c r="AA47" s="630"/>
      <c r="AB47" s="631"/>
      <c r="AC47" s="633"/>
      <c r="AD47" s="212"/>
      <c r="AE47" s="212"/>
      <c r="AF47" s="212"/>
      <c r="AG47" s="213"/>
      <c r="AH47" s="212"/>
      <c r="AI47" s="212"/>
      <c r="AK47" s="735"/>
      <c r="AL47" s="717"/>
      <c r="AM47" s="715"/>
      <c r="AN47" s="713"/>
    </row>
    <row r="48" spans="2:57" ht="6" customHeight="1" thickBot="1" x14ac:dyDescent="0.35">
      <c r="B48" s="85"/>
      <c r="E48" s="204"/>
      <c r="F48" s="211"/>
      <c r="G48" s="211"/>
      <c r="H48" s="211"/>
      <c r="I48" s="211"/>
      <c r="J48" s="211"/>
      <c r="K48" s="211"/>
      <c r="L48" s="211"/>
      <c r="M48" s="211"/>
      <c r="N48" s="211"/>
      <c r="O48" s="211"/>
      <c r="P48" s="211"/>
      <c r="Q48" s="211"/>
      <c r="R48" s="211"/>
      <c r="S48" s="211"/>
      <c r="T48" s="211"/>
      <c r="U48" s="211"/>
      <c r="V48" s="211"/>
      <c r="W48" s="211"/>
      <c r="X48" s="211"/>
      <c r="Y48" s="211"/>
      <c r="Z48" s="211"/>
      <c r="AA48" s="212"/>
      <c r="AB48" s="212"/>
      <c r="AC48" s="212"/>
      <c r="AG48" s="86"/>
    </row>
    <row r="49" spans="2:40" ht="15" customHeight="1" thickBot="1" x14ac:dyDescent="0.35">
      <c r="B49" s="302" t="str">
        <f>HLOOKUP(Language!$B$2,Language!$C$12:$H$656,223)</f>
        <v>Additional evaluation by Elektra</v>
      </c>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4"/>
      <c r="AN49" s="208"/>
    </row>
    <row r="50" spans="2:40" ht="6" customHeight="1" x14ac:dyDescent="0.3">
      <c r="B50" s="85"/>
      <c r="AG50" s="86"/>
      <c r="AN50" s="208"/>
    </row>
    <row r="51" spans="2:40" ht="8.5500000000000007" customHeight="1" x14ac:dyDescent="0.3">
      <c r="B51" s="85"/>
      <c r="E51" s="694" t="str">
        <f>HLOOKUP(Language!$B$2,Language!$C$12:$H$656,284)</f>
        <v>Possible points</v>
      </c>
      <c r="F51" s="690"/>
      <c r="G51" s="690"/>
      <c r="H51" s="690"/>
      <c r="I51" s="690"/>
      <c r="J51" s="745"/>
      <c r="K51" s="745"/>
      <c r="L51" s="745"/>
      <c r="M51" s="745"/>
      <c r="N51" s="745"/>
      <c r="O51" s="745"/>
      <c r="P51" s="745"/>
      <c r="Q51" s="745"/>
      <c r="R51" s="745"/>
      <c r="S51" s="745"/>
      <c r="T51" s="745"/>
      <c r="U51" s="745"/>
      <c r="V51" s="745"/>
      <c r="W51" s="745"/>
      <c r="X51" s="745"/>
      <c r="Y51" s="745"/>
      <c r="Z51" s="690" t="str">
        <f>HLOOKUP(Language!$B$2,Language!$C$12:$H$656,283)</f>
        <v>Points Earned</v>
      </c>
      <c r="AA51" s="690"/>
      <c r="AB51" s="690"/>
      <c r="AC51" s="690"/>
      <c r="AD51" s="691"/>
      <c r="AG51" s="86"/>
    </row>
    <row r="52" spans="2:40" ht="8.5500000000000007" customHeight="1" x14ac:dyDescent="0.3">
      <c r="B52" s="85"/>
      <c r="E52" s="695"/>
      <c r="F52" s="692"/>
      <c r="G52" s="692"/>
      <c r="H52" s="692"/>
      <c r="I52" s="692"/>
      <c r="J52" s="746"/>
      <c r="K52" s="746"/>
      <c r="L52" s="746"/>
      <c r="M52" s="746"/>
      <c r="N52" s="746"/>
      <c r="O52" s="746"/>
      <c r="P52" s="746"/>
      <c r="Q52" s="746"/>
      <c r="R52" s="746"/>
      <c r="S52" s="746"/>
      <c r="T52" s="746"/>
      <c r="U52" s="746"/>
      <c r="V52" s="746"/>
      <c r="W52" s="746"/>
      <c r="X52" s="746"/>
      <c r="Y52" s="746"/>
      <c r="Z52" s="692"/>
      <c r="AA52" s="692"/>
      <c r="AB52" s="692"/>
      <c r="AC52" s="692"/>
      <c r="AD52" s="693"/>
      <c r="AG52" s="86"/>
      <c r="AI52" s="192">
        <f>(Data!$F$73*100)/$F$46</f>
        <v>0</v>
      </c>
    </row>
    <row r="53" spans="2:40" ht="22.05" customHeight="1" x14ac:dyDescent="0.3">
      <c r="B53" s="4"/>
      <c r="C53" s="698" t="s">
        <v>402</v>
      </c>
      <c r="D53" s="698"/>
      <c r="E53" s="699"/>
      <c r="F53" s="640">
        <v>2</v>
      </c>
      <c r="G53" s="641"/>
      <c r="H53" s="642"/>
      <c r="I53" s="610" t="str">
        <f>HLOOKUP(Language!$B$2,Language!$C$12:$H$656,224)</f>
        <v>Is there a pictorial representation of the problem? Do the pictures explain the deviation (OK picture/NOK picture or drawing section...)</v>
      </c>
      <c r="J53" s="611"/>
      <c r="K53" s="611"/>
      <c r="L53" s="611"/>
      <c r="M53" s="611"/>
      <c r="N53" s="611"/>
      <c r="O53" s="611"/>
      <c r="P53" s="611"/>
      <c r="Q53" s="611"/>
      <c r="R53" s="611"/>
      <c r="S53" s="611"/>
      <c r="T53" s="611"/>
      <c r="U53" s="611"/>
      <c r="V53" s="611"/>
      <c r="W53" s="611"/>
      <c r="X53" s="611"/>
      <c r="Y53" s="611"/>
      <c r="Z53" s="612"/>
      <c r="AA53" s="643">
        <v>0</v>
      </c>
      <c r="AB53" s="644"/>
      <c r="AC53" s="645"/>
      <c r="AD53" s="201"/>
      <c r="AE53" s="201"/>
      <c r="AF53" s="201"/>
      <c r="AG53" s="202"/>
      <c r="AH53" s="201"/>
      <c r="AI53" s="203"/>
    </row>
    <row r="54" spans="2:40" ht="13.05" customHeight="1" x14ac:dyDescent="0.3">
      <c r="B54" s="85"/>
      <c r="C54" s="698"/>
      <c r="D54" s="698"/>
      <c r="E54" s="699"/>
      <c r="F54" s="619">
        <v>3</v>
      </c>
      <c r="G54" s="620"/>
      <c r="H54" s="621"/>
      <c r="I54" s="622" t="str">
        <f>HLOOKUP(Language!$B$2,Language!$C$12:$H$656,225)</f>
        <v>Check for completeness and plausibility</v>
      </c>
      <c r="J54" s="623"/>
      <c r="K54" s="623"/>
      <c r="L54" s="623"/>
      <c r="M54" s="623"/>
      <c r="N54" s="623"/>
      <c r="O54" s="623"/>
      <c r="P54" s="623"/>
      <c r="Q54" s="623"/>
      <c r="R54" s="623"/>
      <c r="S54" s="623"/>
      <c r="T54" s="623"/>
      <c r="U54" s="623"/>
      <c r="V54" s="623"/>
      <c r="W54" s="623"/>
      <c r="X54" s="623"/>
      <c r="Y54" s="623"/>
      <c r="Z54" s="624"/>
      <c r="AA54" s="646">
        <v>0</v>
      </c>
      <c r="AB54" s="647"/>
      <c r="AC54" s="648"/>
      <c r="AD54" s="199"/>
      <c r="AG54" s="86"/>
    </row>
    <row r="55" spans="2:40" ht="8.5500000000000007" customHeight="1" x14ac:dyDescent="0.3">
      <c r="B55" s="85"/>
      <c r="E55" s="218"/>
      <c r="F55" s="220"/>
      <c r="G55" s="220"/>
      <c r="H55" s="220"/>
      <c r="I55" s="220"/>
      <c r="J55" s="745"/>
      <c r="K55" s="745"/>
      <c r="L55" s="745"/>
      <c r="M55" s="745"/>
      <c r="N55" s="745"/>
      <c r="O55" s="745"/>
      <c r="P55" s="745"/>
      <c r="Q55" s="745"/>
      <c r="R55" s="745"/>
      <c r="S55" s="745"/>
      <c r="T55" s="745"/>
      <c r="U55" s="745"/>
      <c r="V55" s="745"/>
      <c r="W55" s="745"/>
      <c r="X55" s="745"/>
      <c r="Y55" s="745"/>
      <c r="Z55" s="220"/>
      <c r="AA55" s="220"/>
      <c r="AB55" s="220"/>
      <c r="AC55" s="220"/>
      <c r="AD55" s="243"/>
      <c r="AG55" s="86"/>
    </row>
    <row r="56" spans="2:40" ht="8.5500000000000007" customHeight="1" x14ac:dyDescent="0.3">
      <c r="B56" s="85"/>
      <c r="E56" s="221"/>
      <c r="F56" s="222"/>
      <c r="G56" s="222"/>
      <c r="H56" s="222"/>
      <c r="I56" s="222"/>
      <c r="J56" s="746"/>
      <c r="K56" s="746"/>
      <c r="L56" s="746"/>
      <c r="M56" s="746"/>
      <c r="N56" s="746"/>
      <c r="O56" s="746"/>
      <c r="P56" s="746"/>
      <c r="Q56" s="746"/>
      <c r="R56" s="746"/>
      <c r="S56" s="746"/>
      <c r="T56" s="746"/>
      <c r="U56" s="746"/>
      <c r="V56" s="746"/>
      <c r="W56" s="746"/>
      <c r="X56" s="746"/>
      <c r="Y56" s="746"/>
      <c r="Z56" s="222"/>
      <c r="AA56" s="222"/>
      <c r="AB56" s="222"/>
      <c r="AC56" s="222"/>
      <c r="AD56" s="244"/>
      <c r="AG56" s="86"/>
    </row>
    <row r="57" spans="2:40" ht="21.6" customHeight="1" x14ac:dyDescent="0.3">
      <c r="B57" s="4"/>
      <c r="C57" s="698" t="s">
        <v>403</v>
      </c>
      <c r="D57" s="698"/>
      <c r="E57" s="699"/>
      <c r="F57" s="640">
        <v>4</v>
      </c>
      <c r="G57" s="641"/>
      <c r="H57" s="642"/>
      <c r="I57" s="610" t="str">
        <f>HLOOKUP(Language!$B$2,Language!$C$12:$H$656,229)</f>
        <v>Root cause analyses were conducted and are presented in a clear and understandable manner</v>
      </c>
      <c r="J57" s="611"/>
      <c r="K57" s="611"/>
      <c r="L57" s="611"/>
      <c r="M57" s="611"/>
      <c r="N57" s="611"/>
      <c r="O57" s="611"/>
      <c r="P57" s="611"/>
      <c r="Q57" s="611"/>
      <c r="R57" s="611"/>
      <c r="S57" s="611"/>
      <c r="T57" s="611"/>
      <c r="U57" s="611"/>
      <c r="V57" s="611"/>
      <c r="W57" s="611"/>
      <c r="X57" s="611"/>
      <c r="Y57" s="611"/>
      <c r="Z57" s="612"/>
      <c r="AA57" s="669">
        <v>0</v>
      </c>
      <c r="AB57" s="670"/>
      <c r="AC57" s="671"/>
      <c r="AD57" s="201"/>
      <c r="AE57" s="201"/>
      <c r="AF57" s="201"/>
      <c r="AG57" s="202"/>
      <c r="AH57" s="201"/>
      <c r="AI57" s="203"/>
    </row>
    <row r="58" spans="2:40" ht="13.05" customHeight="1" x14ac:dyDescent="0.3">
      <c r="B58" s="85"/>
      <c r="C58" s="698"/>
      <c r="D58" s="698"/>
      <c r="E58" s="699"/>
      <c r="F58" s="660">
        <v>6</v>
      </c>
      <c r="G58" s="661"/>
      <c r="H58" s="662"/>
      <c r="I58" s="622" t="str">
        <f>HLOOKUP(Language!$B$2,Language!$C$12:$H$656,230)</f>
        <v>Plausibility Check Using the ISHIKAWA Diagram and the 5 Whys</v>
      </c>
      <c r="J58" s="623"/>
      <c r="K58" s="623"/>
      <c r="L58" s="623"/>
      <c r="M58" s="623"/>
      <c r="N58" s="623"/>
      <c r="O58" s="623"/>
      <c r="P58" s="623"/>
      <c r="Q58" s="623"/>
      <c r="R58" s="623"/>
      <c r="S58" s="623"/>
      <c r="T58" s="623"/>
      <c r="U58" s="623"/>
      <c r="V58" s="623"/>
      <c r="W58" s="623"/>
      <c r="X58" s="623"/>
      <c r="Y58" s="623"/>
      <c r="Z58" s="624"/>
      <c r="AA58" s="742">
        <v>0</v>
      </c>
      <c r="AB58" s="743"/>
      <c r="AC58" s="744"/>
      <c r="AD58" s="199"/>
      <c r="AG58" s="86"/>
    </row>
    <row r="59" spans="2:40" ht="13.05" customHeight="1" x14ac:dyDescent="0.3">
      <c r="B59" s="85"/>
      <c r="C59" s="698"/>
      <c r="D59" s="698"/>
      <c r="E59" s="699"/>
      <c r="F59" s="619">
        <v>6</v>
      </c>
      <c r="G59" s="620"/>
      <c r="H59" s="621"/>
      <c r="I59" s="634" t="str">
        <f>HLOOKUP(Language!$B$2,Language!$C$12:$H$656,231)</f>
        <v>Verification of the completeness and plausibility of the planned corrective actions.</v>
      </c>
      <c r="J59" s="635"/>
      <c r="K59" s="635"/>
      <c r="L59" s="635"/>
      <c r="M59" s="635"/>
      <c r="N59" s="635"/>
      <c r="O59" s="635"/>
      <c r="P59" s="635"/>
      <c r="Q59" s="635"/>
      <c r="R59" s="635"/>
      <c r="S59" s="635"/>
      <c r="T59" s="635"/>
      <c r="U59" s="635"/>
      <c r="V59" s="635"/>
      <c r="W59" s="635"/>
      <c r="X59" s="635"/>
      <c r="Y59" s="635"/>
      <c r="Z59" s="636"/>
      <c r="AA59" s="637">
        <v>0</v>
      </c>
      <c r="AB59" s="638"/>
      <c r="AC59" s="639"/>
      <c r="AD59" s="199"/>
      <c r="AG59" s="86"/>
    </row>
    <row r="60" spans="2:40" ht="8.5500000000000007" customHeight="1" x14ac:dyDescent="0.3">
      <c r="B60" s="85"/>
      <c r="E60" s="218"/>
      <c r="F60" s="220"/>
      <c r="G60" s="220"/>
      <c r="H60" s="220"/>
      <c r="I60" s="220"/>
      <c r="J60" s="745"/>
      <c r="K60" s="745"/>
      <c r="L60" s="745"/>
      <c r="M60" s="745"/>
      <c r="N60" s="745"/>
      <c r="O60" s="745"/>
      <c r="P60" s="745"/>
      <c r="Q60" s="745"/>
      <c r="R60" s="745"/>
      <c r="S60" s="745"/>
      <c r="T60" s="745"/>
      <c r="U60" s="745"/>
      <c r="V60" s="745"/>
      <c r="W60" s="745"/>
      <c r="X60" s="745"/>
      <c r="Y60" s="745"/>
      <c r="Z60" s="220"/>
      <c r="AA60" s="220"/>
      <c r="AB60" s="220"/>
      <c r="AC60" s="220"/>
      <c r="AD60" s="243"/>
      <c r="AG60" s="86"/>
    </row>
    <row r="61" spans="2:40" ht="8.5500000000000007" customHeight="1" x14ac:dyDescent="0.3">
      <c r="B61" s="85"/>
      <c r="E61" s="221"/>
      <c r="F61" s="222"/>
      <c r="G61" s="222"/>
      <c r="H61" s="222"/>
      <c r="I61" s="222"/>
      <c r="J61" s="746"/>
      <c r="K61" s="746"/>
      <c r="L61" s="746"/>
      <c r="M61" s="746"/>
      <c r="N61" s="746"/>
      <c r="O61" s="746"/>
      <c r="P61" s="746"/>
      <c r="Q61" s="746"/>
      <c r="R61" s="746"/>
      <c r="S61" s="746"/>
      <c r="T61" s="746"/>
      <c r="U61" s="746"/>
      <c r="V61" s="746"/>
      <c r="W61" s="746"/>
      <c r="X61" s="746"/>
      <c r="Y61" s="746"/>
      <c r="Z61" s="222"/>
      <c r="AA61" s="222"/>
      <c r="AB61" s="222"/>
      <c r="AC61" s="222"/>
      <c r="AD61" s="244"/>
      <c r="AG61" s="86"/>
    </row>
    <row r="62" spans="2:40" ht="13.05" customHeight="1" x14ac:dyDescent="0.3">
      <c r="B62" s="85"/>
      <c r="C62" s="698" t="s">
        <v>404</v>
      </c>
      <c r="D62" s="698"/>
      <c r="E62" s="699"/>
      <c r="F62" s="607">
        <v>6</v>
      </c>
      <c r="G62" s="608"/>
      <c r="H62" s="609"/>
      <c r="I62" s="610" t="str">
        <f>HLOOKUP(Language!$B$2,Language!$C$12:$H$656,234)</f>
        <v>Verification of the plausibility of the implemented corrective actions</v>
      </c>
      <c r="J62" s="611"/>
      <c r="K62" s="611"/>
      <c r="L62" s="611"/>
      <c r="M62" s="611"/>
      <c r="N62" s="611"/>
      <c r="O62" s="611"/>
      <c r="P62" s="611"/>
      <c r="Q62" s="611"/>
      <c r="R62" s="611"/>
      <c r="S62" s="611"/>
      <c r="T62" s="611"/>
      <c r="U62" s="611"/>
      <c r="V62" s="611"/>
      <c r="W62" s="611"/>
      <c r="X62" s="611"/>
      <c r="Y62" s="611"/>
      <c r="Z62" s="612"/>
      <c r="AA62" s="649">
        <v>0</v>
      </c>
      <c r="AB62" s="650"/>
      <c r="AC62" s="651"/>
      <c r="AD62" s="199"/>
      <c r="AG62" s="86"/>
    </row>
    <row r="63" spans="2:40" ht="13.05" customHeight="1" x14ac:dyDescent="0.3">
      <c r="B63" s="85"/>
      <c r="C63" s="698"/>
      <c r="D63" s="698"/>
      <c r="E63" s="699"/>
      <c r="F63" s="660">
        <v>6</v>
      </c>
      <c r="G63" s="661"/>
      <c r="H63" s="662"/>
      <c r="I63" s="622" t="str">
        <f>HLOOKUP(Language!$B$2,Language!$C$12:$H$656,235)</f>
        <v>Verification of the completeness and plausibility of the updated documents</v>
      </c>
      <c r="J63" s="623"/>
      <c r="K63" s="623"/>
      <c r="L63" s="623"/>
      <c r="M63" s="623"/>
      <c r="N63" s="623"/>
      <c r="O63" s="623"/>
      <c r="P63" s="623"/>
      <c r="Q63" s="623"/>
      <c r="R63" s="623"/>
      <c r="S63" s="623"/>
      <c r="T63" s="623"/>
      <c r="U63" s="623"/>
      <c r="V63" s="623"/>
      <c r="W63" s="623"/>
      <c r="X63" s="623"/>
      <c r="Y63" s="623"/>
      <c r="Z63" s="624"/>
      <c r="AA63" s="678">
        <v>0</v>
      </c>
      <c r="AB63" s="679"/>
      <c r="AC63" s="680"/>
      <c r="AD63" s="199"/>
      <c r="AG63" s="86"/>
    </row>
    <row r="64" spans="2:40" ht="13.05" customHeight="1" x14ac:dyDescent="0.3">
      <c r="B64" s="4"/>
      <c r="C64" s="698"/>
      <c r="D64" s="698"/>
      <c r="E64" s="699"/>
      <c r="F64" s="660">
        <v>4</v>
      </c>
      <c r="G64" s="661"/>
      <c r="H64" s="662"/>
      <c r="I64" s="672" t="str">
        <f>HLOOKUP(Language!$B$2,Language!$C$12:$H$656,236)</f>
        <v>Verification of the completeness and plausibility of the FMEA and CP</v>
      </c>
      <c r="J64" s="673"/>
      <c r="K64" s="673"/>
      <c r="L64" s="673"/>
      <c r="M64" s="673"/>
      <c r="N64" s="673"/>
      <c r="O64" s="673"/>
      <c r="P64" s="673"/>
      <c r="Q64" s="673"/>
      <c r="R64" s="673"/>
      <c r="S64" s="673"/>
      <c r="T64" s="673"/>
      <c r="U64" s="673"/>
      <c r="V64" s="673"/>
      <c r="W64" s="673"/>
      <c r="X64" s="673"/>
      <c r="Y64" s="673"/>
      <c r="Z64" s="674"/>
      <c r="AA64" s="675">
        <v>0</v>
      </c>
      <c r="AB64" s="676"/>
      <c r="AC64" s="677"/>
      <c r="AD64" s="201"/>
      <c r="AE64" s="201"/>
      <c r="AF64" s="201"/>
      <c r="AG64" s="202"/>
      <c r="AH64" s="201"/>
      <c r="AI64" s="203"/>
    </row>
    <row r="65" spans="2:33" ht="8.5500000000000007" customHeight="1" x14ac:dyDescent="0.3">
      <c r="B65" s="85"/>
      <c r="E65" s="218"/>
      <c r="F65" s="220"/>
      <c r="G65" s="220"/>
      <c r="H65" s="220"/>
      <c r="I65" s="220"/>
      <c r="J65" s="696"/>
      <c r="K65" s="696"/>
      <c r="L65" s="696"/>
      <c r="M65" s="696"/>
      <c r="N65" s="696"/>
      <c r="O65" s="696"/>
      <c r="P65" s="696"/>
      <c r="Q65" s="696"/>
      <c r="R65" s="696"/>
      <c r="S65" s="696"/>
      <c r="T65" s="696"/>
      <c r="U65" s="696"/>
      <c r="V65" s="696"/>
      <c r="W65" s="696"/>
      <c r="X65" s="696"/>
      <c r="Y65" s="696"/>
      <c r="Z65" s="220"/>
      <c r="AA65" s="220"/>
      <c r="AB65" s="220"/>
      <c r="AC65" s="220"/>
      <c r="AD65" s="243"/>
      <c r="AG65" s="86"/>
    </row>
    <row r="66" spans="2:33" ht="8.5500000000000007" customHeight="1" x14ac:dyDescent="0.3">
      <c r="B66" s="85"/>
      <c r="E66" s="221"/>
      <c r="F66" s="222"/>
      <c r="G66" s="222"/>
      <c r="H66" s="222"/>
      <c r="I66" s="222"/>
      <c r="J66" s="697"/>
      <c r="K66" s="697"/>
      <c r="L66" s="697"/>
      <c r="M66" s="697"/>
      <c r="N66" s="697"/>
      <c r="O66" s="697"/>
      <c r="P66" s="697"/>
      <c r="Q66" s="697"/>
      <c r="R66" s="697"/>
      <c r="S66" s="697"/>
      <c r="T66" s="697"/>
      <c r="U66" s="697"/>
      <c r="V66" s="697"/>
      <c r="W66" s="697"/>
      <c r="X66" s="697"/>
      <c r="Y66" s="697"/>
      <c r="Z66" s="222"/>
      <c r="AA66" s="222"/>
      <c r="AB66" s="222"/>
      <c r="AC66" s="222"/>
      <c r="AD66" s="244"/>
      <c r="AG66" s="86"/>
    </row>
    <row r="67" spans="2:33" ht="13.05" customHeight="1" thickBot="1" x14ac:dyDescent="0.35">
      <c r="B67" s="85"/>
      <c r="C67" s="698" t="str">
        <f>HLOOKUP(Language!$B$2,Language!$C$12:$H$656,244)</f>
        <v>Other</v>
      </c>
      <c r="D67" s="698"/>
      <c r="E67" s="699"/>
      <c r="F67" s="607">
        <v>2</v>
      </c>
      <c r="G67" s="608"/>
      <c r="H67" s="609"/>
      <c r="I67" s="681" t="str">
        <f>HLOOKUP(Language!$B$2,Language!$C$12:$H$656,245)</f>
        <v>Required information in the document has been provided (highlighted in red)</v>
      </c>
      <c r="J67" s="682"/>
      <c r="K67" s="682"/>
      <c r="L67" s="682"/>
      <c r="M67" s="682"/>
      <c r="N67" s="682"/>
      <c r="O67" s="682"/>
      <c r="P67" s="682"/>
      <c r="Q67" s="682"/>
      <c r="R67" s="682"/>
      <c r="S67" s="682"/>
      <c r="T67" s="682"/>
      <c r="U67" s="682"/>
      <c r="V67" s="682"/>
      <c r="W67" s="682"/>
      <c r="X67" s="682"/>
      <c r="Y67" s="682"/>
      <c r="Z67" s="683"/>
      <c r="AA67" s="649">
        <v>0</v>
      </c>
      <c r="AB67" s="650"/>
      <c r="AC67" s="651"/>
      <c r="AD67" s="199"/>
      <c r="AG67" s="86"/>
    </row>
    <row r="68" spans="2:33" ht="7.95" customHeight="1" x14ac:dyDescent="0.3">
      <c r="B68" s="85"/>
      <c r="F68" s="663">
        <f>($F$54+$F$59+$F$62+$F$57+$F$53+$F$58+$F$63+$F$64+F67)</f>
        <v>39</v>
      </c>
      <c r="G68" s="664"/>
      <c r="H68" s="665"/>
      <c r="AA68" s="628">
        <f>(Data!$F$74*100)/$F$68</f>
        <v>0</v>
      </c>
      <c r="AB68" s="629"/>
      <c r="AC68" s="632" t="s">
        <v>389</v>
      </c>
      <c r="AG68" s="86"/>
    </row>
    <row r="69" spans="2:33" ht="7.95" customHeight="1" thickBot="1" x14ac:dyDescent="0.35">
      <c r="B69" s="85"/>
      <c r="F69" s="666"/>
      <c r="G69" s="667"/>
      <c r="H69" s="668"/>
      <c r="AA69" s="630"/>
      <c r="AB69" s="631"/>
      <c r="AC69" s="633"/>
      <c r="AG69" s="86"/>
    </row>
    <row r="70" spans="2:33" ht="6" customHeight="1" thickBot="1" x14ac:dyDescent="0.35">
      <c r="B70" s="8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88"/>
    </row>
    <row r="71" spans="2:33" ht="15" customHeight="1" thickBot="1" x14ac:dyDescent="0.35">
      <c r="B71" s="302" t="str">
        <f>HLOOKUP(Language!$B$2,Language!$C$12:$H$656,239)</f>
        <v>Result</v>
      </c>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c r="AA71" s="303"/>
      <c r="AB71" s="303"/>
      <c r="AC71" s="303"/>
      <c r="AD71" s="303"/>
      <c r="AE71" s="303"/>
      <c r="AF71" s="303"/>
      <c r="AG71" s="304"/>
    </row>
    <row r="72" spans="2:33" ht="6" customHeight="1" x14ac:dyDescent="0.3">
      <c r="B72" s="172"/>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4"/>
    </row>
    <row r="73" spans="2:33" ht="15" customHeight="1" x14ac:dyDescent="0.3">
      <c r="B73" s="85"/>
      <c r="E73" s="286" t="str">
        <f>HLOOKUP(Language!$B$2,Language!$C$12:$H$656,240)</f>
        <v>Valuation key</v>
      </c>
      <c r="F73" s="287"/>
      <c r="G73" s="287"/>
      <c r="H73" s="287"/>
      <c r="I73" s="288"/>
      <c r="J73" s="656" t="s">
        <v>398</v>
      </c>
      <c r="K73" s="656"/>
      <c r="L73" s="656"/>
      <c r="M73" s="656"/>
      <c r="N73" s="656"/>
      <c r="O73" s="656"/>
      <c r="P73" s="656"/>
      <c r="Q73" s="657" t="s">
        <v>399</v>
      </c>
      <c r="R73" s="657"/>
      <c r="S73" s="657"/>
      <c r="T73" s="657"/>
      <c r="U73" s="657"/>
      <c r="V73" s="657"/>
      <c r="W73" s="657"/>
      <c r="X73" s="658" t="s">
        <v>400</v>
      </c>
      <c r="Y73" s="658"/>
      <c r="Z73" s="658"/>
      <c r="AA73" s="658"/>
      <c r="AB73" s="658"/>
      <c r="AC73" s="658"/>
      <c r="AD73" s="659"/>
      <c r="AE73"/>
      <c r="AG73" s="86"/>
    </row>
    <row r="74" spans="2:33" ht="6" customHeight="1" x14ac:dyDescent="0.3">
      <c r="B74" s="85"/>
      <c r="C74"/>
      <c r="D74" s="652"/>
      <c r="E74" s="652"/>
      <c r="F74" s="652"/>
      <c r="G74"/>
      <c r="AG74" s="86"/>
    </row>
    <row r="75" spans="2:33" ht="14.4" customHeight="1" x14ac:dyDescent="0.3">
      <c r="B75" s="85"/>
      <c r="C75"/>
      <c r="D75" s="652"/>
      <c r="E75" s="652"/>
      <c r="F75" s="652"/>
      <c r="G75"/>
      <c r="J75" s="653" t="str">
        <f>HLOOKUP(Language!$B$2,Language!$C$12:$H$656,241)</f>
        <v>Overall rating</v>
      </c>
      <c r="K75" s="653"/>
      <c r="L75" s="653"/>
      <c r="M75" s="653"/>
      <c r="N75" s="653"/>
      <c r="O75" s="653"/>
      <c r="P75" s="653"/>
      <c r="Q75" s="653"/>
      <c r="R75" s="653"/>
      <c r="S75" s="654">
        <f>(Data!$F$75*100)/(F46+F68)</f>
        <v>0</v>
      </c>
      <c r="T75" s="654"/>
      <c r="U75" s="653" t="s">
        <v>389</v>
      </c>
      <c r="W75" s="655" t="str">
        <f>IF($S$75&gt;=80,"A",IF($S$75&gt;=65,"B",IF($S$75&lt;65,"C")))</f>
        <v>C</v>
      </c>
      <c r="X75" s="655"/>
      <c r="AG75" s="86"/>
    </row>
    <row r="76" spans="2:33" ht="14.4" customHeight="1" x14ac:dyDescent="0.3">
      <c r="B76" s="85"/>
      <c r="C76"/>
      <c r="D76" s="652"/>
      <c r="E76" s="652"/>
      <c r="F76" s="652"/>
      <c r="G76"/>
      <c r="J76" s="653"/>
      <c r="K76" s="653"/>
      <c r="L76" s="653"/>
      <c r="M76" s="653"/>
      <c r="N76" s="653"/>
      <c r="O76" s="653"/>
      <c r="P76" s="653"/>
      <c r="Q76" s="653"/>
      <c r="R76" s="653"/>
      <c r="S76" s="654"/>
      <c r="T76" s="654"/>
      <c r="U76" s="653"/>
      <c r="W76" s="655"/>
      <c r="X76" s="655"/>
      <c r="AG76" s="86"/>
    </row>
    <row r="77" spans="2:33" ht="6" customHeight="1" x14ac:dyDescent="0.3">
      <c r="B77" s="85"/>
      <c r="C77"/>
      <c r="D77"/>
      <c r="E77"/>
      <c r="F77"/>
      <c r="G77"/>
      <c r="J77" s="214"/>
      <c r="K77" s="214"/>
      <c r="L77" s="214"/>
      <c r="M77" s="214"/>
      <c r="N77" s="214"/>
      <c r="O77" s="214"/>
      <c r="P77" s="214"/>
      <c r="Q77" s="214"/>
      <c r="R77" s="214"/>
      <c r="S77" s="215"/>
      <c r="T77" s="215"/>
      <c r="U77" s="214"/>
      <c r="W77" s="216"/>
      <c r="X77" s="216"/>
      <c r="AG77" s="86"/>
    </row>
    <row r="78" spans="2:33" ht="14.4" customHeight="1" x14ac:dyDescent="0.3">
      <c r="B78" s="85"/>
      <c r="C78"/>
      <c r="D78"/>
      <c r="E78" s="616" t="str">
        <f>HLOOKUP(Language!$B$2,Language!$C$12:$H$656,242)</f>
        <v>This rating will be included in your supplier rating.</v>
      </c>
      <c r="F78" s="617"/>
      <c r="G78" s="617"/>
      <c r="H78" s="617"/>
      <c r="I78" s="617"/>
      <c r="J78" s="617"/>
      <c r="K78" s="617"/>
      <c r="L78" s="617"/>
      <c r="M78" s="617"/>
      <c r="N78" s="617"/>
      <c r="O78" s="617"/>
      <c r="P78" s="617"/>
      <c r="Q78" s="617"/>
      <c r="R78" s="617"/>
      <c r="S78" s="617"/>
      <c r="T78" s="617"/>
      <c r="U78" s="617"/>
      <c r="V78" s="617"/>
      <c r="W78" s="617"/>
      <c r="X78" s="617"/>
      <c r="Y78" s="617"/>
      <c r="Z78" s="617"/>
      <c r="AA78" s="617"/>
      <c r="AB78" s="617"/>
      <c r="AC78" s="617"/>
      <c r="AD78" s="618"/>
      <c r="AG78" s="86"/>
    </row>
    <row r="79" spans="2:33" ht="10.050000000000001" customHeight="1" thickBot="1" x14ac:dyDescent="0.35">
      <c r="B79" s="8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88"/>
    </row>
  </sheetData>
  <sheetProtection algorithmName="SHA-512" hashValue="ioE5nSMFGaVLCSIRUi+KWLM1dkVD1JruViYmQa+ofIjX9np9fkAQipfAQfl/NCAWBR4oWucrxIEwKHwnDTWzvg==" saltValue="OS84PtJgWhZ3BYDVR2T3/g==" spinCount="100000" sheet="1" selectLockedCells="1"/>
  <mergeCells count="194">
    <mergeCell ref="AI5:AL6"/>
    <mergeCell ref="C62:E64"/>
    <mergeCell ref="C57:E59"/>
    <mergeCell ref="C53:E54"/>
    <mergeCell ref="C45:E45"/>
    <mergeCell ref="C40:E42"/>
    <mergeCell ref="C35:E37"/>
    <mergeCell ref="C31:E32"/>
    <mergeCell ref="C26:E28"/>
    <mergeCell ref="C17:E19"/>
    <mergeCell ref="C13:E14"/>
    <mergeCell ref="C22:E23"/>
    <mergeCell ref="J33:Y34"/>
    <mergeCell ref="J38:Y39"/>
    <mergeCell ref="J43:Y44"/>
    <mergeCell ref="J51:Y52"/>
    <mergeCell ref="J55:Y56"/>
    <mergeCell ref="J60:Y61"/>
    <mergeCell ref="AK13:AK14"/>
    <mergeCell ref="I32:Z32"/>
    <mergeCell ref="AA32:AC32"/>
    <mergeCell ref="F27:H27"/>
    <mergeCell ref="I27:Z27"/>
    <mergeCell ref="AA27:AC27"/>
    <mergeCell ref="AK46:AK47"/>
    <mergeCell ref="AK15:AK21"/>
    <mergeCell ref="AK22:AK23"/>
    <mergeCell ref="AK24:AK34"/>
    <mergeCell ref="AK35:AK36"/>
    <mergeCell ref="AK37:AK39"/>
    <mergeCell ref="AK40:AK45"/>
    <mergeCell ref="F58:H58"/>
    <mergeCell ref="I58:Z58"/>
    <mergeCell ref="AA58:AC58"/>
    <mergeCell ref="I26:Z26"/>
    <mergeCell ref="AA26:AC26"/>
    <mergeCell ref="F19:H19"/>
    <mergeCell ref="I19:Z19"/>
    <mergeCell ref="AA19:AC19"/>
    <mergeCell ref="F22:H22"/>
    <mergeCell ref="I22:Z22"/>
    <mergeCell ref="AA22:AC22"/>
    <mergeCell ref="J20:Y21"/>
    <mergeCell ref="J24:Y25"/>
    <mergeCell ref="F32:H32"/>
    <mergeCell ref="I28:Z28"/>
    <mergeCell ref="AA28:AC28"/>
    <mergeCell ref="J29:Y30"/>
    <mergeCell ref="AM11:AM12"/>
    <mergeCell ref="AN11:AN12"/>
    <mergeCell ref="AM43:AM44"/>
    <mergeCell ref="AL18:AL21"/>
    <mergeCell ref="AL24:AL26"/>
    <mergeCell ref="AL27:AL31"/>
    <mergeCell ref="AL33:AL34"/>
    <mergeCell ref="AL41:AL42"/>
    <mergeCell ref="AL43:AL44"/>
    <mergeCell ref="AN46:AN47"/>
    <mergeCell ref="AM46:AM47"/>
    <mergeCell ref="AL46:AL47"/>
    <mergeCell ref="AL38:AL39"/>
    <mergeCell ref="AN15:AN16"/>
    <mergeCell ref="AN18:AN21"/>
    <mergeCell ref="AN24:AN26"/>
    <mergeCell ref="AN27:AN31"/>
    <mergeCell ref="AN33:AN34"/>
    <mergeCell ref="AN38:AN39"/>
    <mergeCell ref="AN41:AN42"/>
    <mergeCell ref="AN43:AN44"/>
    <mergeCell ref="AM15:AM16"/>
    <mergeCell ref="AM18:AM21"/>
    <mergeCell ref="AM24:AM26"/>
    <mergeCell ref="AM27:AM31"/>
    <mergeCell ref="AM38:AM39"/>
    <mergeCell ref="AM41:AM42"/>
    <mergeCell ref="AM33:AM34"/>
    <mergeCell ref="AL15:AL16"/>
    <mergeCell ref="C67:E67"/>
    <mergeCell ref="T4:Y4"/>
    <mergeCell ref="B5:F5"/>
    <mergeCell ref="G5:L5"/>
    <mergeCell ref="M5:S5"/>
    <mergeCell ref="T5:Y5"/>
    <mergeCell ref="F14:H14"/>
    <mergeCell ref="I14:Z14"/>
    <mergeCell ref="AA14:AC14"/>
    <mergeCell ref="F18:H18"/>
    <mergeCell ref="I18:Z18"/>
    <mergeCell ref="AA18:AC18"/>
    <mergeCell ref="F17:H17"/>
    <mergeCell ref="I17:Z17"/>
    <mergeCell ref="AA17:AC17"/>
    <mergeCell ref="J15:Y16"/>
    <mergeCell ref="F23:H23"/>
    <mergeCell ref="I23:Z23"/>
    <mergeCell ref="AA23:AC23"/>
    <mergeCell ref="F26:H26"/>
    <mergeCell ref="J65:Y66"/>
    <mergeCell ref="E51:I52"/>
    <mergeCell ref="Z51:AD52"/>
    <mergeCell ref="F28:H28"/>
    <mergeCell ref="B1:Y2"/>
    <mergeCell ref="B3:F3"/>
    <mergeCell ref="G3:S3"/>
    <mergeCell ref="B4:F4"/>
    <mergeCell ref="G4:L4"/>
    <mergeCell ref="M4:S4"/>
    <mergeCell ref="F13:H13"/>
    <mergeCell ref="I13:Z13"/>
    <mergeCell ref="AA13:AC13"/>
    <mergeCell ref="C7:G7"/>
    <mergeCell ref="H7:Q7"/>
    <mergeCell ref="R7:V7"/>
    <mergeCell ref="W7:AF7"/>
    <mergeCell ref="C8:G8"/>
    <mergeCell ref="H8:Q8"/>
    <mergeCell ref="R8:V8"/>
    <mergeCell ref="W8:AF8"/>
    <mergeCell ref="Z11:AD12"/>
    <mergeCell ref="E11:I12"/>
    <mergeCell ref="J11:Y12"/>
    <mergeCell ref="T3:V3"/>
    <mergeCell ref="W3:Y3"/>
    <mergeCell ref="Z1:AG3"/>
    <mergeCell ref="AA4:AD5"/>
    <mergeCell ref="I45:Z45"/>
    <mergeCell ref="AA45:AC45"/>
    <mergeCell ref="F46:H47"/>
    <mergeCell ref="AA46:AB47"/>
    <mergeCell ref="AC46:AC47"/>
    <mergeCell ref="F40:H40"/>
    <mergeCell ref="I40:Z40"/>
    <mergeCell ref="AA40:AC40"/>
    <mergeCell ref="F41:H41"/>
    <mergeCell ref="I41:Z41"/>
    <mergeCell ref="AA41:AC41"/>
    <mergeCell ref="F37:H37"/>
    <mergeCell ref="I37:Z37"/>
    <mergeCell ref="AA37:AC37"/>
    <mergeCell ref="F35:H35"/>
    <mergeCell ref="I35:Z35"/>
    <mergeCell ref="AA35:AC35"/>
    <mergeCell ref="F36:H36"/>
    <mergeCell ref="I36:Z36"/>
    <mergeCell ref="D74:F74"/>
    <mergeCell ref="F68:H69"/>
    <mergeCell ref="F57:H57"/>
    <mergeCell ref="I57:Z57"/>
    <mergeCell ref="AA57:AC57"/>
    <mergeCell ref="F59:H59"/>
    <mergeCell ref="F64:H64"/>
    <mergeCell ref="I64:Z64"/>
    <mergeCell ref="AA64:AC64"/>
    <mergeCell ref="I63:Z63"/>
    <mergeCell ref="F63:H63"/>
    <mergeCell ref="AA63:AC63"/>
    <mergeCell ref="F67:H67"/>
    <mergeCell ref="I67:Z67"/>
    <mergeCell ref="AA67:AC67"/>
    <mergeCell ref="F45:H45"/>
    <mergeCell ref="J75:R76"/>
    <mergeCell ref="S75:T76"/>
    <mergeCell ref="U75:U76"/>
    <mergeCell ref="W75:X76"/>
    <mergeCell ref="D76:F76"/>
    <mergeCell ref="B71:AG71"/>
    <mergeCell ref="E73:I73"/>
    <mergeCell ref="J73:P73"/>
    <mergeCell ref="Q73:W73"/>
    <mergeCell ref="X73:AD73"/>
    <mergeCell ref="AE4:AF5"/>
    <mergeCell ref="AA36:AC36"/>
    <mergeCell ref="F31:H31"/>
    <mergeCell ref="I31:Z31"/>
    <mergeCell ref="AA31:AC31"/>
    <mergeCell ref="E78:AD78"/>
    <mergeCell ref="F42:H42"/>
    <mergeCell ref="I42:Z42"/>
    <mergeCell ref="AA42:AC42"/>
    <mergeCell ref="AA68:AB69"/>
    <mergeCell ref="AC68:AC69"/>
    <mergeCell ref="I59:Z59"/>
    <mergeCell ref="AA59:AC59"/>
    <mergeCell ref="B49:AG49"/>
    <mergeCell ref="F53:H53"/>
    <mergeCell ref="I53:Z53"/>
    <mergeCell ref="AA53:AC53"/>
    <mergeCell ref="F54:H54"/>
    <mergeCell ref="I54:Z54"/>
    <mergeCell ref="AA54:AC54"/>
    <mergeCell ref="F62:H62"/>
    <mergeCell ref="I62:Z62"/>
    <mergeCell ref="AA62:AC62"/>
    <mergeCell ref="D75:F75"/>
  </mergeCells>
  <phoneticPr fontId="35" type="noConversion"/>
  <conditionalFormatting sqref="G4:L4">
    <cfRule type="cellIs" dxfId="28" priority="1" operator="equal">
      <formula>""</formula>
    </cfRule>
  </conditionalFormatting>
  <conditionalFormatting sqref="G3:S3">
    <cfRule type="cellIs" dxfId="27" priority="2" operator="equal">
      <formula>""</formula>
    </cfRule>
  </conditionalFormatting>
  <conditionalFormatting sqref="H7:Q8 W7:AF8">
    <cfRule type="cellIs" dxfId="26" priority="4" operator="equal">
      <formula>""</formula>
    </cfRule>
  </conditionalFormatting>
  <conditionalFormatting sqref="S75">
    <cfRule type="expression" dxfId="25" priority="14">
      <formula>$S$75&gt;=80</formula>
    </cfRule>
    <cfRule type="expression" dxfId="24" priority="15">
      <formula>$S$75&lt;65</formula>
    </cfRule>
    <cfRule type="expression" dxfId="23" priority="16">
      <formula>$S$75&lt;80</formula>
    </cfRule>
    <cfRule type="expression" dxfId="22" priority="17">
      <formula>$S$75&gt;=65</formula>
    </cfRule>
  </conditionalFormatting>
  <conditionalFormatting sqref="T4:Y5 G5">
    <cfRule type="cellIs" dxfId="21" priority="5" operator="equal">
      <formula>""</formula>
    </cfRule>
  </conditionalFormatting>
  <conditionalFormatting sqref="U75">
    <cfRule type="expression" dxfId="20" priority="10">
      <formula>($S$75&gt;=80)</formula>
    </cfRule>
    <cfRule type="expression" dxfId="19" priority="11">
      <formula>$S$75&lt;65</formula>
    </cfRule>
    <cfRule type="expression" dxfId="18" priority="12">
      <formula>$S$75&lt;80</formula>
    </cfRule>
    <cfRule type="expression" dxfId="17" priority="13">
      <formula>$S$75&gt;=65</formula>
    </cfRule>
  </conditionalFormatting>
  <conditionalFormatting sqref="W75:X77">
    <cfRule type="expression" dxfId="16" priority="6">
      <formula>$S$75&gt;=80</formula>
    </cfRule>
    <cfRule type="expression" dxfId="15" priority="7">
      <formula>$S$75&lt;65</formula>
    </cfRule>
    <cfRule type="expression" dxfId="14" priority="8">
      <formula>$S$75&lt;80</formula>
    </cfRule>
    <cfRule type="expression" dxfId="13" priority="9">
      <formula>$S$75&gt;=65</formula>
    </cfRule>
  </conditionalFormatting>
  <conditionalFormatting sqref="W3:Y3">
    <cfRule type="cellIs" dxfId="12" priority="3" operator="equal">
      <formula>""</formula>
    </cfRule>
  </conditionalFormatting>
  <conditionalFormatting sqref="AA68">
    <cfRule type="expression" dxfId="11" priority="22">
      <formula>$AA$68&gt;=80</formula>
    </cfRule>
    <cfRule type="expression" dxfId="10" priority="23">
      <formula>$AA$68&lt;65</formula>
    </cfRule>
    <cfRule type="expression" dxfId="9" priority="24">
      <formula>$AA$68&lt;80</formula>
    </cfRule>
    <cfRule type="expression" dxfId="8" priority="25">
      <formula>$AA$68&gt;=65</formula>
    </cfRule>
  </conditionalFormatting>
  <conditionalFormatting sqref="AA46:AC47">
    <cfRule type="expression" dxfId="7" priority="26">
      <formula>$AA$46&gt;=80</formula>
    </cfRule>
    <cfRule type="expression" dxfId="6" priority="27">
      <formula>$AA$46&lt;65</formula>
    </cfRule>
    <cfRule type="expression" dxfId="5" priority="30">
      <formula>$AA$46&lt;80</formula>
    </cfRule>
    <cfRule type="expression" dxfId="4" priority="31">
      <formula>$AA$46&gt;=65</formula>
    </cfRule>
  </conditionalFormatting>
  <conditionalFormatting sqref="AC68">
    <cfRule type="expression" dxfId="3" priority="18">
      <formula>($AA$68&gt;=80)</formula>
    </cfRule>
    <cfRule type="expression" dxfId="2" priority="19">
      <formula>$AA$68&lt;65</formula>
    </cfRule>
    <cfRule type="expression" dxfId="1" priority="20">
      <formula>$AA$68&lt;80</formula>
    </cfRule>
    <cfRule type="expression" dxfId="0" priority="21">
      <formula>$AA$68&gt;=65</formula>
    </cfRule>
  </conditionalFormatting>
  <dataValidations disablePrompts="1" count="1">
    <dataValidation type="list" allowBlank="1" showInputMessage="1" showErrorMessage="1" sqref="AD9:AF9" xr:uid="{81D00498-7E24-49DB-BB4B-4BC964590E59}">
      <formula1>#REF!</formula1>
    </dataValidation>
  </dataValidations>
  <pageMargins left="0.31496062992125984" right="0.31496062992125984" top="0.31496062992125984" bottom="0" header="0" footer="0"/>
  <pageSetup paperSize="9" scale="83"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Drop Down 1">
              <controlPr defaultSize="0" print="0" autoLine="0" autoPict="0">
                <anchor moveWithCells="1">
                  <from>
                    <xdr:col>37</xdr:col>
                    <xdr:colOff>22860</xdr:colOff>
                    <xdr:row>4</xdr:row>
                    <xdr:rowOff>60960</xdr:rowOff>
                  </from>
                  <to>
                    <xdr:col>37</xdr:col>
                    <xdr:colOff>784860</xdr:colOff>
                    <xdr:row>5</xdr:row>
                    <xdr:rowOff>99060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7</vt:i4>
      </vt:variant>
    </vt:vector>
  </HeadingPairs>
  <TitlesOfParts>
    <vt:vector size="18" baseType="lpstr">
      <vt:lpstr>D1-D3</vt:lpstr>
      <vt:lpstr>D4-D5</vt:lpstr>
      <vt:lpstr>D6-D8</vt:lpstr>
      <vt:lpstr>Documents</vt:lpstr>
      <vt:lpstr>Images</vt:lpstr>
      <vt:lpstr>Notice</vt:lpstr>
      <vt:lpstr>Ishikawa</vt:lpstr>
      <vt:lpstr>5- Why</vt:lpstr>
      <vt:lpstr>Assessment 8D Report</vt:lpstr>
      <vt:lpstr>Language</vt:lpstr>
      <vt:lpstr>Data</vt:lpstr>
      <vt:lpstr>'5- Why'!Druckbereich</vt:lpstr>
      <vt:lpstr>'Assessment 8D Report'!Druckbereich</vt:lpstr>
      <vt:lpstr>'D1-D3'!Druckbereich</vt:lpstr>
      <vt:lpstr>'D4-D5'!Druckbereich</vt:lpstr>
      <vt:lpstr>'D6-D8'!Druckbereich</vt:lpstr>
      <vt:lpstr>Images!Druckbereich</vt:lpstr>
      <vt:lpstr>Ishikawa!Druckbereich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TME   Dominik Kieser</dc:creator>
  <cp:lastModifiedBy>QM   Dominik Kieser</cp:lastModifiedBy>
  <cp:lastPrinted>2026-06-25T13:11:16Z</cp:lastPrinted>
  <dcterms:created xsi:type="dcterms:W3CDTF">2022-08-04T12:41:25Z</dcterms:created>
  <dcterms:modified xsi:type="dcterms:W3CDTF">2026-08-19T08:51:09Z</dcterms:modified>
</cp:coreProperties>
</file>